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jorn\OneDrive\Skjáborð\"/>
    </mc:Choice>
  </mc:AlternateContent>
  <bookViews>
    <workbookView xWindow="240" yWindow="432" windowWidth="14952" windowHeight="7548"/>
  </bookViews>
  <sheets>
    <sheet name="fitumæling" sheetId="1" r:id="rId1"/>
    <sheet name="DV-IDENTITY-0" sheetId="2" state="veryHidden" r:id="rId2"/>
  </sheets>
  <definedNames>
    <definedName name="Z_9293A698_B523_4AB5_896C_61D9929F2845_.wvu.Rows" localSheetId="0" hidden="1">fitumæling!$57:$57</definedName>
    <definedName name="Z_DB0EBCF3_C1A8_4AEF_A43E_259C9A0DED1D_.wvu.Rows" localSheetId="0" hidden="1">fitumæling!$57:$57</definedName>
  </definedNames>
  <calcPr calcId="152511"/>
  <customWorkbookViews>
    <customWorkbookView name="Björn Þór Sigurbjörnsson - Personal View" guid="{DB0EBCF3-C1A8-4AEF-A43E-259C9A0DED1D}" mergeInterval="0" personalView="1" maximized="1" xWindow="-9" yWindow="-9" windowWidth="1938" windowHeight="1038" activeSheetId="1"/>
    <customWorkbookView name="Toshiba - Personal View" guid="{9293A698-B523-4AB5-896C-61D9929F2845}" mergeInterval="0" personalView="1" xWindow="26" yWindow="61" windowWidth="977" windowHeight="461" activeSheetId="1"/>
  </customWorkbookViews>
</workbook>
</file>

<file path=xl/calcChain.xml><?xml version="1.0" encoding="utf-8"?>
<calcChain xmlns="http://schemas.openxmlformats.org/spreadsheetml/2006/main">
  <c r="N55" i="1" l="1"/>
  <c r="Q43" i="1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HH5" i="2"/>
  <c r="HI5" i="2"/>
  <c r="HJ5" i="2"/>
  <c r="HK5" i="2"/>
  <c r="HL5" i="2"/>
  <c r="HM5" i="2"/>
  <c r="HN5" i="2"/>
  <c r="HO5" i="2"/>
  <c r="HP5" i="2"/>
  <c r="HQ5" i="2"/>
  <c r="HR5" i="2"/>
  <c r="HS5" i="2"/>
  <c r="HT5" i="2"/>
  <c r="HU5" i="2"/>
  <c r="HV5" i="2"/>
  <c r="HW5" i="2"/>
  <c r="HX5" i="2"/>
  <c r="HY5" i="2"/>
  <c r="HZ5" i="2"/>
  <c r="IA5" i="2"/>
  <c r="IB5" i="2"/>
  <c r="IC5" i="2"/>
  <c r="ID5" i="2"/>
  <c r="IE5" i="2"/>
  <c r="IF5" i="2"/>
  <c r="IG5" i="2"/>
  <c r="IH5" i="2"/>
  <c r="II5" i="2"/>
  <c r="IJ5" i="2"/>
  <c r="IK5" i="2"/>
  <c r="IL5" i="2"/>
  <c r="IM5" i="2"/>
  <c r="IN5" i="2"/>
  <c r="IO5" i="2"/>
  <c r="IP5" i="2"/>
  <c r="IQ5" i="2"/>
  <c r="IR5" i="2"/>
  <c r="IS5" i="2"/>
  <c r="IT5" i="2"/>
  <c r="IU5" i="2"/>
  <c r="IV5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HH4" i="2"/>
  <c r="HI4" i="2"/>
  <c r="HJ4" i="2"/>
  <c r="HK4" i="2"/>
  <c r="HL4" i="2"/>
  <c r="HM4" i="2"/>
  <c r="HN4" i="2"/>
  <c r="HO4" i="2"/>
  <c r="HP4" i="2"/>
  <c r="HQ4" i="2"/>
  <c r="HR4" i="2"/>
  <c r="HS4" i="2"/>
  <c r="HT4" i="2"/>
  <c r="HU4" i="2"/>
  <c r="HV4" i="2"/>
  <c r="HW4" i="2"/>
  <c r="HX4" i="2"/>
  <c r="HY4" i="2"/>
  <c r="HZ4" i="2"/>
  <c r="IA4" i="2"/>
  <c r="IB4" i="2"/>
  <c r="IC4" i="2"/>
  <c r="ID4" i="2"/>
  <c r="IE4" i="2"/>
  <c r="IF4" i="2"/>
  <c r="IG4" i="2"/>
  <c r="IH4" i="2"/>
  <c r="II4" i="2"/>
  <c r="IJ4" i="2"/>
  <c r="IK4" i="2"/>
  <c r="IL4" i="2"/>
  <c r="IM4" i="2"/>
  <c r="IN4" i="2"/>
  <c r="IO4" i="2"/>
  <c r="IP4" i="2"/>
  <c r="IQ4" i="2"/>
  <c r="IR4" i="2"/>
  <c r="IS4" i="2"/>
  <c r="IT4" i="2"/>
  <c r="IU4" i="2"/>
  <c r="IV4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HH3" i="2"/>
  <c r="HI3" i="2"/>
  <c r="HJ3" i="2"/>
  <c r="HK3" i="2"/>
  <c r="HL3" i="2"/>
  <c r="HM3" i="2"/>
  <c r="HN3" i="2"/>
  <c r="HO3" i="2"/>
  <c r="HP3" i="2"/>
  <c r="HQ3" i="2"/>
  <c r="HR3" i="2"/>
  <c r="HS3" i="2"/>
  <c r="HT3" i="2"/>
  <c r="HU3" i="2"/>
  <c r="HV3" i="2"/>
  <c r="HW3" i="2"/>
  <c r="HX3" i="2"/>
  <c r="HY3" i="2"/>
  <c r="HZ3" i="2"/>
  <c r="IA3" i="2"/>
  <c r="IB3" i="2"/>
  <c r="IC3" i="2"/>
  <c r="ID3" i="2"/>
  <c r="IE3" i="2"/>
  <c r="IF3" i="2"/>
  <c r="IG3" i="2"/>
  <c r="IH3" i="2"/>
  <c r="II3" i="2"/>
  <c r="IJ3" i="2"/>
  <c r="IK3" i="2"/>
  <c r="IL3" i="2"/>
  <c r="IM3" i="2"/>
  <c r="IN3" i="2"/>
  <c r="IO3" i="2"/>
  <c r="IP3" i="2"/>
  <c r="IQ3" i="2"/>
  <c r="IR3" i="2"/>
  <c r="IS3" i="2"/>
  <c r="IT3" i="2"/>
  <c r="IU3" i="2"/>
  <c r="IV3" i="2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HH2" i="2"/>
  <c r="HI2" i="2"/>
  <c r="HJ2" i="2"/>
  <c r="HK2" i="2"/>
  <c r="HL2" i="2"/>
  <c r="HM2" i="2"/>
  <c r="HN2" i="2"/>
  <c r="HO2" i="2"/>
  <c r="HP2" i="2"/>
  <c r="HQ2" i="2"/>
  <c r="HR2" i="2"/>
  <c r="HS2" i="2"/>
  <c r="HT2" i="2"/>
  <c r="HU2" i="2"/>
  <c r="HV2" i="2"/>
  <c r="HW2" i="2"/>
  <c r="HX2" i="2"/>
  <c r="HY2" i="2"/>
  <c r="HZ2" i="2"/>
  <c r="IA2" i="2"/>
  <c r="IB2" i="2"/>
  <c r="IC2" i="2"/>
  <c r="ID2" i="2"/>
  <c r="IE2" i="2"/>
  <c r="IF2" i="2"/>
  <c r="IG2" i="2"/>
  <c r="IH2" i="2"/>
  <c r="II2" i="2"/>
  <c r="IJ2" i="2"/>
  <c r="IK2" i="2"/>
  <c r="IL2" i="2"/>
  <c r="IM2" i="2"/>
  <c r="IN2" i="2"/>
  <c r="IO2" i="2"/>
  <c r="IP2" i="2"/>
  <c r="IQ2" i="2"/>
  <c r="IR2" i="2"/>
  <c r="IS2" i="2"/>
  <c r="IT2" i="2"/>
  <c r="IU2" i="2"/>
  <c r="IV2" i="2"/>
  <c r="A1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HH1" i="2"/>
  <c r="HI1" i="2"/>
  <c r="HJ1" i="2"/>
  <c r="HK1" i="2"/>
  <c r="HL1" i="2"/>
  <c r="HM1" i="2"/>
  <c r="HN1" i="2"/>
  <c r="HO1" i="2"/>
  <c r="HP1" i="2"/>
  <c r="HQ1" i="2"/>
  <c r="HR1" i="2"/>
  <c r="HS1" i="2"/>
  <c r="HT1" i="2"/>
  <c r="HU1" i="2"/>
  <c r="HV1" i="2"/>
  <c r="HW1" i="2"/>
  <c r="HX1" i="2"/>
  <c r="HY1" i="2"/>
  <c r="HZ1" i="2"/>
  <c r="IA1" i="2"/>
  <c r="IB1" i="2"/>
  <c r="IC1" i="2"/>
  <c r="ID1" i="2"/>
  <c r="IE1" i="2"/>
  <c r="IF1" i="2"/>
  <c r="IG1" i="2"/>
  <c r="IH1" i="2"/>
  <c r="II1" i="2"/>
  <c r="IJ1" i="2"/>
  <c r="IK1" i="2"/>
  <c r="IL1" i="2"/>
  <c r="IM1" i="2"/>
  <c r="IN1" i="2"/>
  <c r="IO1" i="2"/>
  <c r="IP1" i="2"/>
  <c r="IQ1" i="2"/>
  <c r="IR1" i="2"/>
  <c r="IS1" i="2"/>
  <c r="IT1" i="2"/>
  <c r="IU1" i="2"/>
  <c r="IV1" i="2"/>
  <c r="J12" i="1"/>
  <c r="J16" i="1"/>
  <c r="J24" i="1"/>
  <c r="J28" i="1"/>
  <c r="J32" i="1"/>
  <c r="J36" i="1"/>
  <c r="H41" i="1" l="1"/>
</calcChain>
</file>

<file path=xl/comments1.xml><?xml version="1.0" encoding="utf-8"?>
<comments xmlns="http://schemas.openxmlformats.org/spreadsheetml/2006/main">
  <authors>
    <author>Joseph L .Patt III</author>
    <author>Toshiba</author>
  </authors>
  <commentList>
    <comment ref="B11" authorId="0" shapeId="0">
      <text>
        <r>
          <rPr>
            <sz val="9"/>
            <color indexed="81"/>
            <rFont val="Arial Narrow"/>
            <family val="2"/>
          </rPr>
          <t>efra brjóst við handakrika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0" shapeId="0">
      <text>
        <r>
          <rPr>
            <sz val="8"/>
            <color indexed="81"/>
            <rFont val="Tahoma"/>
            <family val="2"/>
          </rPr>
          <t xml:space="preserve">bein lína út frá nafla
</t>
        </r>
      </text>
    </comment>
    <comment ref="B19" authorId="0" shapeId="0">
      <text>
        <r>
          <rPr>
            <sz val="9"/>
            <color indexed="81"/>
            <rFont val="Arial Narrow"/>
            <family val="2"/>
          </rPr>
          <t xml:space="preserve">Miðjupunktur milli hnéskeljar og mjaðmabeins)
</t>
        </r>
      </text>
    </comment>
    <comment ref="B23" authorId="0" shapeId="0">
      <text>
        <r>
          <rPr>
            <sz val="9"/>
            <color indexed="81"/>
            <rFont val="Arial Narrow"/>
            <family val="2"/>
          </rPr>
          <t>Three vertical skinfold measurements taken half the distance between the acromion process (prominent bone at top of shoulder) and the olecranon process (elbow bone).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 shapeId="0">
      <text>
        <r>
          <rPr>
            <sz val="9"/>
            <color indexed="81"/>
            <rFont val="Arial Narrow"/>
            <family val="2"/>
          </rPr>
          <t xml:space="preserve">
klíptu 2-3 cm út frá herðablaðsbeininu (infenior scapula)</t>
        </r>
      </text>
    </comment>
    <comment ref="B31" authorId="0" shapeId="0">
      <text>
        <r>
          <rPr>
            <sz val="9"/>
            <color indexed="81"/>
            <rFont val="Arial Narrow"/>
            <family val="2"/>
          </rPr>
          <t xml:space="preserve">Réttasta staðsetningin er 5 cm og 45 gráður út/niður frá nafla, í raun mittt á milli nafla og mjaðma í 45 gráður.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5" authorId="0" shapeId="0">
      <text>
        <r>
          <rPr>
            <sz val="9"/>
            <color indexed="81"/>
            <rFont val="Arial Narrow"/>
            <family val="2"/>
          </rPr>
          <t xml:space="preserve">þetta er gilega erfiðasti staðurinn til að klípa, hann er útfrá brjóstsvæðinu undir handakrika, þetta eru 4-5 cm niður frá handakrikanum í beinni línu að geirvörtum.
Three vertical skinfold measurements taken on the midaxillary line (a vertical line descending directly from the center of the armpit) at the level of the nipple.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0" authorId="1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við nafla</t>
        </r>
      </text>
    </comment>
    <comment ref="H50" authorId="1" shapeId="0">
      <text>
        <r>
          <rPr>
            <sz val="9"/>
            <color indexed="81"/>
            <rFont val="Tahoma"/>
            <family val="2"/>
          </rPr>
          <t xml:space="preserve">
miðlína á milli olnboga axlar
</t>
        </r>
      </text>
    </comment>
    <comment ref="B52" authorId="1" shapeId="0">
      <text>
        <r>
          <rPr>
            <b/>
            <sz val="9"/>
            <color indexed="81"/>
            <rFont val="Tahoma"/>
            <family val="2"/>
          </rPr>
          <t>fætur saman
ummál dregið yfir mitti</t>
        </r>
      </text>
    </comment>
    <comment ref="H52" authorId="1" shapeId="0">
      <text>
        <r>
          <rPr>
            <b/>
            <sz val="9"/>
            <color indexed="81"/>
            <rFont val="Tahoma"/>
            <family val="2"/>
          </rPr>
          <t xml:space="preserve">BÞS
</t>
        </r>
        <r>
          <rPr>
            <sz val="9"/>
            <color indexed="81"/>
            <rFont val="Tahoma"/>
            <family val="2"/>
          </rPr>
          <t>miðpunktur milli hné og mjaðmar</t>
        </r>
      </text>
    </comment>
  </commentList>
</comments>
</file>

<file path=xl/sharedStrings.xml><?xml version="1.0" encoding="utf-8"?>
<sst xmlns="http://schemas.openxmlformats.org/spreadsheetml/2006/main" count="35" uniqueCount="29">
  <si>
    <t>%</t>
  </si>
  <si>
    <t>AAAAAHZ3Pj0=</t>
  </si>
  <si>
    <t>AAAAAHZ3Pj4=</t>
  </si>
  <si>
    <t>Fituprósenta:</t>
  </si>
  <si>
    <t>Dags.</t>
  </si>
  <si>
    <t>Hæð (cm)</t>
  </si>
  <si>
    <t>Þyngd (kg)</t>
  </si>
  <si>
    <t>Aldur</t>
  </si>
  <si>
    <t>Púls</t>
  </si>
  <si>
    <t>Kviður</t>
  </si>
  <si>
    <t>Mitti/Rass</t>
  </si>
  <si>
    <t>Hægri</t>
  </si>
  <si>
    <t>Vinstri</t>
  </si>
  <si>
    <t>Upphandleggur</t>
  </si>
  <si>
    <t>Læri</t>
  </si>
  <si>
    <t>Þetta skjal má ekki afrita með einum eða öðrum hætti nema gegn samþykki www.body.is . Það er eingöngu ætlað til notkunnar eins og það er uppsett hér</t>
  </si>
  <si>
    <t>Jackson/Pollock 7 punkta aðferðin - fitumælingareiknilíkan</t>
  </si>
  <si>
    <t>"Punktar" til klípumælinga</t>
  </si>
  <si>
    <t>Pectoral (Brjóst við handakrika)</t>
  </si>
  <si>
    <t>Abdominal (kviður 3 cm út frá nafla)</t>
  </si>
  <si>
    <t>Tricep: (í beinni línu frá olnbogabeini(lat*ulna))</t>
  </si>
  <si>
    <t>Subscapular (efra bak neðan við herðablað)</t>
  </si>
  <si>
    <t>Suprailiac (síða)</t>
  </si>
  <si>
    <t>Axilla (handakriki)</t>
  </si>
  <si>
    <t xml:space="preserve">samtals cm </t>
  </si>
  <si>
    <t>Thigh ( framanverð læri)</t>
  </si>
  <si>
    <t>Ummálsmælingar (punktar)</t>
  </si>
  <si>
    <t>(mm) millimetrar</t>
  </si>
  <si>
    <t>bjorn@likami.is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</si>
</sst>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9"/>
      <name val="Arial"/>
      <family val="2"/>
    </font>
    <font>
      <sz val="9"/>
      <color indexed="81"/>
      <name val="Arial Narrow"/>
      <family val="2"/>
    </font>
    <font>
      <sz val="8"/>
      <color indexed="81"/>
      <name val="Tahoma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993300"/>
      <name val="Verdana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b/>
      <u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4" fillId="2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5" fillId="0" borderId="0" xfId="3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0" xfId="0" applyFont="1" applyBorder="1" applyAlignment="1">
      <alignment vertical="center"/>
    </xf>
    <xf numFmtId="0" fontId="9" fillId="0" borderId="0" xfId="0" applyFont="1" applyBorder="1"/>
    <xf numFmtId="0" fontId="11" fillId="0" borderId="0" xfId="0" applyFont="1" applyBorder="1"/>
    <xf numFmtId="0" fontId="3" fillId="0" borderId="9" xfId="0" applyFont="1" applyBorder="1" applyAlignment="1">
      <alignment horizontal="center"/>
    </xf>
    <xf numFmtId="0" fontId="13" fillId="0" borderId="0" xfId="2" applyFont="1" applyAlignment="1" applyProtection="1"/>
    <xf numFmtId="0" fontId="20" fillId="3" borderId="0" xfId="0" applyFont="1" applyFill="1"/>
    <xf numFmtId="0" fontId="3" fillId="3" borderId="0" xfId="0" applyFont="1" applyFill="1"/>
    <xf numFmtId="0" fontId="21" fillId="0" borderId="0" xfId="0" applyFont="1" applyAlignment="1">
      <alignment vertical="center"/>
    </xf>
    <xf numFmtId="0" fontId="22" fillId="0" borderId="0" xfId="0" applyFont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23" fillId="3" borderId="20" xfId="1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17" fillId="0" borderId="0" xfId="0" applyFont="1" applyBorder="1"/>
    <xf numFmtId="0" fontId="24" fillId="0" borderId="0" xfId="0" applyFont="1" applyBorder="1"/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4" fontId="3" fillId="0" borderId="21" xfId="0" applyNumberFormat="1" applyFont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25" fillId="3" borderId="11" xfId="0" applyFont="1" applyFill="1" applyBorder="1" applyAlignment="1">
      <alignment horizontal="center"/>
    </xf>
    <xf numFmtId="0" fontId="24" fillId="0" borderId="0" xfId="0" applyFont="1" applyBorder="1"/>
    <xf numFmtId="0" fontId="0" fillId="0" borderId="0" xfId="0" applyBorder="1"/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0" borderId="0" xfId="3" applyAlignment="1">
      <alignment horizontal="center"/>
    </xf>
    <xf numFmtId="0" fontId="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" fillId="0" borderId="0" xfId="2" applyAlignment="1" applyProtection="1">
      <alignment horizontal="center"/>
    </xf>
  </cellXfs>
  <cellStyles count="4">
    <cellStyle name="60% - Accent3" xfId="1" builtinId="40"/>
    <cellStyle name="Hyperlink" xfId="2" builtinId="8"/>
    <cellStyle name="Hyperlink 2" xfId="3"/>
    <cellStyle name="Normal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8</xdr:row>
      <xdr:rowOff>76200</xdr:rowOff>
    </xdr:from>
    <xdr:to>
      <xdr:col>18</xdr:col>
      <xdr:colOff>47625</xdr:colOff>
      <xdr:row>37</xdr:row>
      <xdr:rowOff>0</xdr:rowOff>
    </xdr:to>
    <xdr:pic>
      <xdr:nvPicPr>
        <xdr:cNvPr id="1106" name="Picture 8" descr="womanfro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4125" y="1066800"/>
          <a:ext cx="1905000" cy="428625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18</xdr:col>
      <xdr:colOff>0</xdr:colOff>
      <xdr:row>8</xdr:row>
      <xdr:rowOff>95250</xdr:rowOff>
    </xdr:from>
    <xdr:to>
      <xdr:col>22</xdr:col>
      <xdr:colOff>28575</xdr:colOff>
      <xdr:row>37</xdr:row>
      <xdr:rowOff>19050</xdr:rowOff>
    </xdr:to>
    <xdr:pic>
      <xdr:nvPicPr>
        <xdr:cNvPr id="1107" name="Picture 9" descr="womanrea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1085850"/>
          <a:ext cx="1905000" cy="428625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0</xdr:col>
      <xdr:colOff>114299</xdr:colOff>
      <xdr:row>65</xdr:row>
      <xdr:rowOff>0</xdr:rowOff>
    </xdr:from>
    <xdr:to>
      <xdr:col>12</xdr:col>
      <xdr:colOff>85724</xdr:colOff>
      <xdr:row>74</xdr:row>
      <xdr:rowOff>3964</xdr:rowOff>
    </xdr:to>
    <xdr:pic>
      <xdr:nvPicPr>
        <xdr:cNvPr id="6" name="Picture 5" descr="1775468_ori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299" y="9458325"/>
          <a:ext cx="2867025" cy="146128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23737</xdr:colOff>
      <xdr:row>1</xdr:row>
      <xdr:rowOff>106680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418197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4hourlife.com/2011/04/09/4-hour-body-composition-body-fat-calculator-how-do-you-measure-up/" TargetMode="External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1.bin"/><Relationship Id="rId5" Type="http://schemas.openxmlformats.org/officeDocument/2006/relationships/printerSettings" Target="../printerSettings/printerSettings3.bin"/><Relationship Id="rId10" Type="http://schemas.openxmlformats.org/officeDocument/2006/relationships/comments" Target="../comments1.xml"/><Relationship Id="rId4" Type="http://schemas.openxmlformats.org/officeDocument/2006/relationships/hyperlink" Target="mailto:bjorn@likami.is" TargetMode="External"/><Relationship Id="rId9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76"/>
  <sheetViews>
    <sheetView showGridLines="0" showZeros="0" tabSelected="1" zoomScaleNormal="100" workbookViewId="0">
      <selection activeCell="X9" sqref="X9"/>
    </sheetView>
  </sheetViews>
  <sheetFormatPr defaultColWidth="9.109375" defaultRowHeight="13.2" x14ac:dyDescent="0.25"/>
  <cols>
    <col min="1" max="1" width="1.6640625" style="1" customWidth="1"/>
    <col min="2" max="3" width="4.6640625" style="1" customWidth="1"/>
    <col min="4" max="4" width="1.6640625" style="1" customWidth="1"/>
    <col min="5" max="6" width="4.6640625" style="1" customWidth="1"/>
    <col min="7" max="7" width="1.6640625" style="1" customWidth="1"/>
    <col min="8" max="8" width="6.5546875" style="1" customWidth="1"/>
    <col min="9" max="9" width="4.6640625" style="1" customWidth="1"/>
    <col min="10" max="10" width="1.6640625" style="1" customWidth="1"/>
    <col min="11" max="11" width="4.6640625" style="1" customWidth="1"/>
    <col min="12" max="13" width="1.6640625" style="1" customWidth="1"/>
    <col min="14" max="15" width="4.6640625" style="1" customWidth="1"/>
    <col min="16" max="16" width="1.6640625" style="1" customWidth="1"/>
    <col min="17" max="18" width="4.6640625" style="1" customWidth="1"/>
    <col min="19" max="19" width="1.6640625" style="1" customWidth="1"/>
    <col min="20" max="21" width="9.109375" style="1"/>
    <col min="22" max="22" width="8.109375" style="1" customWidth="1"/>
    <col min="23" max="23" width="1.6640625" style="1" customWidth="1"/>
    <col min="24" max="16384" width="9.109375" style="1"/>
  </cols>
  <sheetData>
    <row r="1" spans="1:20" ht="41.25" customHeight="1" thickBot="1" x14ac:dyDescent="0.3">
      <c r="I1" s="41" t="s">
        <v>16</v>
      </c>
    </row>
    <row r="2" spans="1:20" ht="13.8" thickBot="1" x14ac:dyDescent="0.3">
      <c r="B2" s="53" t="s">
        <v>4</v>
      </c>
      <c r="C2" s="54"/>
      <c r="E2" s="61"/>
      <c r="F2" s="59"/>
      <c r="H2" s="50" t="s">
        <v>8</v>
      </c>
      <c r="I2" s="51"/>
      <c r="K2" s="57">
        <v>67</v>
      </c>
      <c r="L2" s="58"/>
      <c r="M2" s="59"/>
    </row>
    <row r="3" spans="1:20" ht="8.1" customHeight="1" thickBot="1" x14ac:dyDescent="0.3"/>
    <row r="4" spans="1:20" ht="13.8" thickBot="1" x14ac:dyDescent="0.3">
      <c r="B4" s="53" t="s">
        <v>6</v>
      </c>
      <c r="C4" s="54"/>
      <c r="E4" s="57">
        <v>78</v>
      </c>
      <c r="F4" s="59"/>
      <c r="H4" s="53" t="s">
        <v>7</v>
      </c>
      <c r="I4" s="54"/>
      <c r="K4" s="57">
        <v>35</v>
      </c>
      <c r="L4" s="58"/>
      <c r="M4" s="59"/>
      <c r="O4" s="71" t="s">
        <v>28</v>
      </c>
      <c r="P4" s="68"/>
      <c r="Q4" s="68"/>
      <c r="R4" s="68"/>
      <c r="S4" s="68"/>
      <c r="T4" s="68"/>
    </row>
    <row r="5" spans="1:20" ht="8.1" customHeight="1" thickBot="1" x14ac:dyDescent="0.3">
      <c r="O5" s="68"/>
      <c r="P5" s="68"/>
      <c r="Q5" s="68"/>
      <c r="R5" s="68"/>
      <c r="S5" s="68"/>
      <c r="T5" s="68"/>
    </row>
    <row r="6" spans="1:20" ht="13.8" thickBot="1" x14ac:dyDescent="0.3">
      <c r="B6" s="53" t="s">
        <v>5</v>
      </c>
      <c r="C6" s="54"/>
      <c r="E6" s="57">
        <v>172</v>
      </c>
      <c r="F6" s="59"/>
      <c r="H6" s="54"/>
      <c r="I6" s="54"/>
      <c r="O6" s="68"/>
      <c r="P6" s="68"/>
      <c r="Q6" s="68"/>
      <c r="R6" s="68"/>
      <c r="S6" s="68"/>
      <c r="T6" s="68"/>
    </row>
    <row r="7" spans="1:20" ht="8.1" customHeight="1" thickBot="1" x14ac:dyDescent="0.3">
      <c r="B7" s="2"/>
      <c r="C7" s="2"/>
      <c r="E7" s="2"/>
      <c r="F7" s="2"/>
    </row>
    <row r="8" spans="1:20" ht="8.1" customHeight="1" x14ac:dyDescent="0.25">
      <c r="A8" s="3"/>
      <c r="B8" s="4"/>
      <c r="C8" s="4"/>
      <c r="D8" s="4"/>
      <c r="E8" s="4"/>
      <c r="F8" s="4"/>
      <c r="G8" s="4"/>
      <c r="H8" s="4"/>
      <c r="I8" s="4"/>
      <c r="J8" s="5"/>
      <c r="K8" s="6"/>
      <c r="L8" s="6"/>
    </row>
    <row r="9" spans="1:20" x14ac:dyDescent="0.25">
      <c r="A9" s="7"/>
      <c r="B9" s="60" t="s">
        <v>17</v>
      </c>
      <c r="C9" s="60"/>
      <c r="D9" s="60"/>
      <c r="E9" s="60"/>
      <c r="F9" s="60"/>
      <c r="G9" s="60"/>
      <c r="H9" s="60"/>
      <c r="I9" s="60"/>
      <c r="J9" s="9"/>
      <c r="K9" s="8"/>
      <c r="L9" s="8"/>
    </row>
    <row r="10" spans="1:20" ht="8.1" customHeight="1" x14ac:dyDescent="0.25">
      <c r="A10" s="7"/>
      <c r="B10" s="6"/>
      <c r="C10" s="6"/>
      <c r="D10" s="6"/>
      <c r="E10" s="6"/>
      <c r="F10" s="6"/>
      <c r="G10" s="6"/>
      <c r="H10" s="6"/>
      <c r="I10" s="6"/>
      <c r="J10" s="10"/>
      <c r="K10" s="6"/>
      <c r="L10" s="6"/>
    </row>
    <row r="11" spans="1:20" ht="13.8" thickBot="1" x14ac:dyDescent="0.3">
      <c r="A11" s="7"/>
      <c r="B11" s="52" t="s">
        <v>18</v>
      </c>
      <c r="C11" s="52"/>
      <c r="D11" s="52"/>
      <c r="E11" s="52"/>
      <c r="F11" s="52"/>
      <c r="G11" s="52"/>
      <c r="H11" s="52"/>
      <c r="I11" s="52"/>
      <c r="J11" s="9"/>
      <c r="K11" s="8"/>
      <c r="L11" s="8"/>
    </row>
    <row r="12" spans="1:20" ht="13.8" thickBot="1" x14ac:dyDescent="0.3">
      <c r="A12" s="7"/>
      <c r="B12" s="55">
        <v>12</v>
      </c>
      <c r="C12" s="56"/>
      <c r="D12" s="47"/>
      <c r="E12" s="55">
        <v>12</v>
      </c>
      <c r="F12" s="56"/>
      <c r="G12" s="47"/>
      <c r="H12" s="55">
        <v>11</v>
      </c>
      <c r="I12" s="56"/>
      <c r="J12" s="11">
        <f>AVERAGE(B12,E12,H12)</f>
        <v>11.666666666666666</v>
      </c>
      <c r="K12" s="12"/>
      <c r="L12" s="12"/>
    </row>
    <row r="13" spans="1:20" x14ac:dyDescent="0.25">
      <c r="A13" s="7"/>
      <c r="B13" s="52" t="s">
        <v>27</v>
      </c>
      <c r="C13" s="52"/>
      <c r="D13" s="52"/>
      <c r="E13" s="52"/>
      <c r="F13" s="52"/>
      <c r="G13" s="52"/>
      <c r="H13" s="52"/>
      <c r="I13" s="52"/>
      <c r="J13" s="11"/>
      <c r="K13" s="12"/>
      <c r="L13" s="12"/>
    </row>
    <row r="14" spans="1:20" ht="8.1" customHeight="1" x14ac:dyDescent="0.25">
      <c r="A14" s="7"/>
      <c r="B14" s="52"/>
      <c r="C14" s="52"/>
      <c r="D14" s="52"/>
      <c r="E14" s="52"/>
      <c r="F14" s="52"/>
      <c r="G14" s="52"/>
      <c r="H14" s="52"/>
      <c r="I14" s="52"/>
      <c r="J14" s="11"/>
      <c r="K14" s="12"/>
      <c r="L14" s="12"/>
    </row>
    <row r="15" spans="1:20" ht="13.8" thickBot="1" x14ac:dyDescent="0.3">
      <c r="A15" s="7"/>
      <c r="B15" s="52" t="s">
        <v>19</v>
      </c>
      <c r="C15" s="52"/>
      <c r="D15" s="52"/>
      <c r="E15" s="52"/>
      <c r="F15" s="52"/>
      <c r="G15" s="52"/>
      <c r="H15" s="52"/>
      <c r="I15" s="52"/>
      <c r="J15" s="11"/>
      <c r="K15" s="12"/>
      <c r="L15" s="12"/>
    </row>
    <row r="16" spans="1:20" ht="13.8" thickBot="1" x14ac:dyDescent="0.3">
      <c r="A16" s="7"/>
      <c r="B16" s="55">
        <v>32</v>
      </c>
      <c r="C16" s="56"/>
      <c r="D16" s="47"/>
      <c r="E16" s="55">
        <v>33</v>
      </c>
      <c r="F16" s="56"/>
      <c r="G16" s="47"/>
      <c r="H16" s="55">
        <v>30</v>
      </c>
      <c r="I16" s="56"/>
      <c r="J16" s="11">
        <f>AVERAGE(B16,E16,H16)</f>
        <v>31.666666666666668</v>
      </c>
      <c r="K16" s="12"/>
      <c r="L16" s="12"/>
    </row>
    <row r="17" spans="1:12" x14ac:dyDescent="0.25">
      <c r="A17" s="7"/>
      <c r="B17" s="52" t="s">
        <v>27</v>
      </c>
      <c r="C17" s="52"/>
      <c r="D17" s="52"/>
      <c r="E17" s="52"/>
      <c r="F17" s="52"/>
      <c r="G17" s="52"/>
      <c r="H17" s="52"/>
      <c r="I17" s="52"/>
      <c r="J17" s="11"/>
      <c r="K17" s="12"/>
      <c r="L17" s="12"/>
    </row>
    <row r="18" spans="1:12" ht="8.1" customHeight="1" x14ac:dyDescent="0.25">
      <c r="A18" s="7"/>
      <c r="B18" s="47"/>
      <c r="C18" s="47"/>
      <c r="D18" s="47"/>
      <c r="E18" s="47"/>
      <c r="F18" s="47"/>
      <c r="G18" s="47"/>
      <c r="H18" s="47"/>
      <c r="I18" s="47"/>
      <c r="J18" s="13"/>
      <c r="K18" s="14"/>
      <c r="L18" s="14"/>
    </row>
    <row r="19" spans="1:12" ht="13.8" thickBot="1" x14ac:dyDescent="0.3">
      <c r="A19" s="7"/>
      <c r="B19" s="52" t="s">
        <v>25</v>
      </c>
      <c r="C19" s="52"/>
      <c r="D19" s="52"/>
      <c r="E19" s="52"/>
      <c r="F19" s="52"/>
      <c r="G19" s="52"/>
      <c r="H19" s="52"/>
      <c r="I19" s="52"/>
      <c r="J19" s="11"/>
      <c r="K19" s="12"/>
      <c r="L19" s="12"/>
    </row>
    <row r="20" spans="1:12" ht="13.8" thickBot="1" x14ac:dyDescent="0.3">
      <c r="A20" s="7"/>
      <c r="B20" s="55">
        <v>11</v>
      </c>
      <c r="C20" s="56"/>
      <c r="D20" s="47"/>
      <c r="E20" s="55">
        <v>12</v>
      </c>
      <c r="F20" s="56"/>
      <c r="G20" s="47"/>
      <c r="H20" s="55">
        <v>12</v>
      </c>
      <c r="I20" s="56"/>
      <c r="J20" s="11">
        <v>13</v>
      </c>
      <c r="K20" s="12"/>
      <c r="L20" s="12"/>
    </row>
    <row r="21" spans="1:12" x14ac:dyDescent="0.25">
      <c r="A21" s="7"/>
      <c r="B21" s="52" t="s">
        <v>27</v>
      </c>
      <c r="C21" s="52"/>
      <c r="D21" s="52"/>
      <c r="E21" s="52"/>
      <c r="F21" s="52"/>
      <c r="G21" s="52"/>
      <c r="H21" s="52"/>
      <c r="I21" s="52"/>
      <c r="J21" s="11"/>
      <c r="K21" s="12"/>
      <c r="L21" s="12"/>
    </row>
    <row r="22" spans="1:12" ht="8.1" customHeight="1" x14ac:dyDescent="0.25">
      <c r="A22" s="7"/>
      <c r="B22" s="47"/>
      <c r="C22" s="47"/>
      <c r="D22" s="47"/>
      <c r="E22" s="47"/>
      <c r="F22" s="47"/>
      <c r="G22" s="47"/>
      <c r="H22" s="47"/>
      <c r="I22" s="47"/>
      <c r="J22" s="13"/>
      <c r="K22" s="14"/>
      <c r="L22" s="14"/>
    </row>
    <row r="23" spans="1:12" ht="13.8" thickBot="1" x14ac:dyDescent="0.3">
      <c r="A23" s="7"/>
      <c r="B23" s="52" t="s">
        <v>20</v>
      </c>
      <c r="C23" s="52"/>
      <c r="D23" s="52"/>
      <c r="E23" s="52"/>
      <c r="F23" s="52"/>
      <c r="G23" s="52"/>
      <c r="H23" s="52"/>
      <c r="I23" s="52"/>
      <c r="J23" s="11"/>
      <c r="K23" s="12"/>
      <c r="L23" s="12"/>
    </row>
    <row r="24" spans="1:12" ht="13.8" thickBot="1" x14ac:dyDescent="0.3">
      <c r="A24" s="7"/>
      <c r="B24" s="55">
        <v>5</v>
      </c>
      <c r="C24" s="56"/>
      <c r="D24" s="47"/>
      <c r="E24" s="55">
        <v>8</v>
      </c>
      <c r="F24" s="56"/>
      <c r="G24" s="47"/>
      <c r="H24" s="55">
        <v>5</v>
      </c>
      <c r="I24" s="56"/>
      <c r="J24" s="11">
        <f>AVERAGE(B24,E24,H24)</f>
        <v>6</v>
      </c>
      <c r="K24" s="12"/>
      <c r="L24" s="12"/>
    </row>
    <row r="25" spans="1:12" x14ac:dyDescent="0.25">
      <c r="A25" s="7"/>
      <c r="B25" s="52" t="s">
        <v>27</v>
      </c>
      <c r="C25" s="52"/>
      <c r="D25" s="52"/>
      <c r="E25" s="52"/>
      <c r="F25" s="52"/>
      <c r="G25" s="52"/>
      <c r="H25" s="52"/>
      <c r="I25" s="52"/>
      <c r="J25" s="11"/>
      <c r="K25" s="12"/>
      <c r="L25" s="12"/>
    </row>
    <row r="26" spans="1:12" ht="8.1" customHeight="1" x14ac:dyDescent="0.25">
      <c r="A26" s="7"/>
      <c r="B26" s="47"/>
      <c r="C26" s="47"/>
      <c r="D26" s="47"/>
      <c r="E26" s="47"/>
      <c r="F26" s="47"/>
      <c r="G26" s="47"/>
      <c r="H26" s="47"/>
      <c r="I26" s="47"/>
      <c r="J26" s="13"/>
      <c r="K26" s="14"/>
      <c r="L26" s="14"/>
    </row>
    <row r="27" spans="1:12" ht="13.8" thickBot="1" x14ac:dyDescent="0.3">
      <c r="A27" s="7"/>
      <c r="B27" s="52" t="s">
        <v>21</v>
      </c>
      <c r="C27" s="52"/>
      <c r="D27" s="52"/>
      <c r="E27" s="52"/>
      <c r="F27" s="52"/>
      <c r="G27" s="52"/>
      <c r="H27" s="52"/>
      <c r="I27" s="52"/>
      <c r="J27" s="11"/>
      <c r="K27" s="12"/>
      <c r="L27" s="12"/>
    </row>
    <row r="28" spans="1:12" ht="13.8" thickBot="1" x14ac:dyDescent="0.3">
      <c r="A28" s="7"/>
      <c r="B28" s="55">
        <v>14</v>
      </c>
      <c r="C28" s="56"/>
      <c r="D28" s="47"/>
      <c r="E28" s="55">
        <v>14</v>
      </c>
      <c r="F28" s="56"/>
      <c r="G28" s="47"/>
      <c r="H28" s="55">
        <v>14</v>
      </c>
      <c r="I28" s="56"/>
      <c r="J28" s="11">
        <f>AVERAGE(B28,E28,H28)</f>
        <v>14</v>
      </c>
      <c r="K28" s="12"/>
      <c r="L28" s="12"/>
    </row>
    <row r="29" spans="1:12" x14ac:dyDescent="0.25">
      <c r="A29" s="7"/>
      <c r="B29" s="52" t="s">
        <v>27</v>
      </c>
      <c r="C29" s="52"/>
      <c r="D29" s="52"/>
      <c r="E29" s="52"/>
      <c r="F29" s="52"/>
      <c r="G29" s="52"/>
      <c r="H29" s="52"/>
      <c r="I29" s="52"/>
      <c r="J29" s="11"/>
      <c r="K29" s="12"/>
      <c r="L29" s="12"/>
    </row>
    <row r="30" spans="1:12" ht="8.1" customHeight="1" x14ac:dyDescent="0.25">
      <c r="A30" s="7"/>
      <c r="B30" s="47"/>
      <c r="C30" s="47"/>
      <c r="D30" s="47"/>
      <c r="E30" s="47"/>
      <c r="F30" s="47"/>
      <c r="G30" s="47"/>
      <c r="H30" s="47"/>
      <c r="I30" s="47"/>
      <c r="J30" s="13"/>
      <c r="K30" s="14"/>
      <c r="L30" s="14"/>
    </row>
    <row r="31" spans="1:12" ht="13.8" thickBot="1" x14ac:dyDescent="0.3">
      <c r="A31" s="7"/>
      <c r="B31" s="52" t="s">
        <v>22</v>
      </c>
      <c r="C31" s="52"/>
      <c r="D31" s="52"/>
      <c r="E31" s="52"/>
      <c r="F31" s="52"/>
      <c r="G31" s="52"/>
      <c r="H31" s="52"/>
      <c r="I31" s="52"/>
      <c r="J31" s="11"/>
      <c r="K31" s="12"/>
      <c r="L31" s="12"/>
    </row>
    <row r="32" spans="1:12" ht="13.8" thickBot="1" x14ac:dyDescent="0.3">
      <c r="A32" s="7"/>
      <c r="B32" s="55">
        <v>11</v>
      </c>
      <c r="C32" s="56"/>
      <c r="D32" s="47"/>
      <c r="E32" s="55">
        <v>11</v>
      </c>
      <c r="F32" s="56"/>
      <c r="G32" s="47"/>
      <c r="H32" s="55">
        <v>11</v>
      </c>
      <c r="I32" s="56"/>
      <c r="J32" s="11">
        <f>AVERAGE(B32,E32,H32)</f>
        <v>11</v>
      </c>
      <c r="K32" s="12"/>
      <c r="L32" s="12"/>
    </row>
    <row r="33" spans="1:19" x14ac:dyDescent="0.25">
      <c r="A33" s="7"/>
      <c r="B33" s="52" t="s">
        <v>27</v>
      </c>
      <c r="C33" s="52"/>
      <c r="D33" s="52"/>
      <c r="E33" s="52"/>
      <c r="F33" s="52"/>
      <c r="G33" s="52"/>
      <c r="H33" s="52"/>
      <c r="I33" s="52"/>
      <c r="J33" s="11"/>
      <c r="K33" s="12"/>
      <c r="L33" s="12"/>
    </row>
    <row r="34" spans="1:19" ht="8.1" customHeight="1" x14ac:dyDescent="0.25">
      <c r="A34" s="7"/>
      <c r="B34" s="47"/>
      <c r="C34" s="47"/>
      <c r="D34" s="47"/>
      <c r="E34" s="47"/>
      <c r="F34" s="47"/>
      <c r="G34" s="47"/>
      <c r="H34" s="47"/>
      <c r="I34" s="47"/>
      <c r="J34" s="13"/>
      <c r="K34" s="14"/>
      <c r="L34" s="14"/>
    </row>
    <row r="35" spans="1:19" ht="13.8" thickBot="1" x14ac:dyDescent="0.3">
      <c r="A35" s="7"/>
      <c r="B35" s="52" t="s">
        <v>23</v>
      </c>
      <c r="C35" s="52"/>
      <c r="D35" s="52"/>
      <c r="E35" s="52"/>
      <c r="F35" s="52"/>
      <c r="G35" s="52"/>
      <c r="H35" s="52"/>
      <c r="I35" s="52"/>
      <c r="J35" s="11"/>
      <c r="K35" s="12"/>
      <c r="L35" s="12"/>
    </row>
    <row r="36" spans="1:19" ht="13.8" thickBot="1" x14ac:dyDescent="0.3">
      <c r="A36" s="7"/>
      <c r="B36" s="55">
        <v>11</v>
      </c>
      <c r="C36" s="56"/>
      <c r="D36" s="47"/>
      <c r="E36" s="55">
        <v>14</v>
      </c>
      <c r="F36" s="56"/>
      <c r="G36" s="47"/>
      <c r="H36" s="55">
        <v>11</v>
      </c>
      <c r="I36" s="56"/>
      <c r="J36" s="11">
        <f>AVERAGE(B36,E36,H36)</f>
        <v>12</v>
      </c>
      <c r="K36" s="12"/>
      <c r="L36" s="12"/>
    </row>
    <row r="37" spans="1:19" x14ac:dyDescent="0.25">
      <c r="A37" s="7"/>
      <c r="B37" s="52" t="s">
        <v>27</v>
      </c>
      <c r="C37" s="52"/>
      <c r="D37" s="52"/>
      <c r="E37" s="52"/>
      <c r="F37" s="52"/>
      <c r="G37" s="52"/>
      <c r="H37" s="52"/>
      <c r="I37" s="52"/>
      <c r="J37" s="9"/>
      <c r="K37" s="8"/>
      <c r="L37" s="8"/>
    </row>
    <row r="38" spans="1:19" ht="8.1" customHeight="1" thickBot="1" x14ac:dyDescent="0.3">
      <c r="A38" s="15"/>
      <c r="B38" s="16"/>
      <c r="C38" s="16"/>
      <c r="D38" s="16"/>
      <c r="E38" s="16"/>
      <c r="F38" s="16"/>
      <c r="G38" s="16"/>
      <c r="H38" s="16"/>
      <c r="I38" s="16"/>
      <c r="J38" s="17"/>
      <c r="K38" s="6"/>
      <c r="L38" s="6"/>
    </row>
    <row r="39" spans="1:19" ht="8.1" customHeight="1" x14ac:dyDescent="0.25"/>
    <row r="40" spans="1:19" ht="8.1" customHeight="1" thickBot="1" x14ac:dyDescent="0.3"/>
    <row r="41" spans="1:19" ht="15" thickBot="1" x14ac:dyDescent="0.3">
      <c r="B41" s="49" t="s">
        <v>3</v>
      </c>
      <c r="C41" s="49"/>
      <c r="D41" s="49"/>
      <c r="E41" s="49"/>
      <c r="F41" s="49"/>
      <c r="H41" s="45">
        <f>(4.95/(1.097-(0.00046971*(SUM(J36,J32,J28,J24,J20,J16,J12)))+(0.00000056*((SUM(J36,J32,J28,J24,J20,J16,J12))^2))-(0.00012828*K4))-4.5)*100</f>
        <v>20.810723278033105</v>
      </c>
      <c r="I41" s="37" t="s">
        <v>0</v>
      </c>
      <c r="K41" s="49"/>
      <c r="L41" s="49"/>
      <c r="M41" s="49"/>
      <c r="N41" s="49"/>
      <c r="O41" s="49"/>
      <c r="P41" s="23"/>
      <c r="Q41" s="69"/>
      <c r="R41" s="69"/>
      <c r="S41" s="23"/>
    </row>
    <row r="42" spans="1:19" x14ac:dyDescent="0.25">
      <c r="B42" s="2"/>
      <c r="C42" s="2"/>
      <c r="D42" s="2"/>
      <c r="E42" s="2"/>
      <c r="F42" s="2"/>
      <c r="H42"/>
      <c r="I42" s="19"/>
    </row>
    <row r="43" spans="1:19" ht="13.8" x14ac:dyDescent="0.3">
      <c r="B43" s="49"/>
      <c r="C43" s="49"/>
      <c r="D43" s="49"/>
      <c r="E43" s="49"/>
      <c r="F43" s="49"/>
      <c r="G43" s="23"/>
      <c r="H43" s="35"/>
      <c r="I43" s="36"/>
      <c r="J43" s="23"/>
      <c r="K43" s="49"/>
      <c r="L43" s="49"/>
      <c r="M43" s="49"/>
      <c r="N43" s="49"/>
      <c r="O43" s="49"/>
      <c r="P43" s="23"/>
      <c r="Q43" s="35">
        <f>(H43*1.375)</f>
        <v>0</v>
      </c>
      <c r="R43" s="36"/>
      <c r="S43" s="23"/>
    </row>
    <row r="44" spans="1:19" ht="13.8" x14ac:dyDescent="0.3">
      <c r="B44" s="22"/>
      <c r="C44" s="22"/>
      <c r="D44" s="22"/>
      <c r="E44" s="22"/>
      <c r="F44" s="22"/>
      <c r="G44" s="23"/>
      <c r="H44" s="35"/>
      <c r="I44" s="36"/>
      <c r="J44" s="23"/>
      <c r="K44" s="24"/>
      <c r="L44" s="24"/>
      <c r="M44" s="24"/>
      <c r="N44" s="24"/>
      <c r="O44" s="24"/>
      <c r="P44" s="23"/>
      <c r="Q44" s="35"/>
      <c r="R44" s="36"/>
      <c r="S44" s="23"/>
    </row>
    <row r="45" spans="1:19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43"/>
      <c r="R45" s="44"/>
      <c r="S45" s="25"/>
    </row>
    <row r="46" spans="1:19" ht="7.5" customHeight="1" thickBot="1" x14ac:dyDescent="0.3">
      <c r="B46" s="2"/>
      <c r="C46" s="2"/>
      <c r="D46" s="2"/>
      <c r="E46" s="2"/>
      <c r="F46" s="2"/>
      <c r="H46" s="18"/>
      <c r="I46" s="19"/>
    </row>
    <row r="47" spans="1:19" ht="9.75" customHeight="1" x14ac:dyDescent="0.25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8"/>
    </row>
    <row r="48" spans="1:19" ht="16.5" customHeight="1" x14ac:dyDescent="0.25">
      <c r="A48" s="29"/>
      <c r="B48" s="66" t="s">
        <v>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46"/>
      <c r="N48" s="66" t="s">
        <v>11</v>
      </c>
      <c r="O48" s="66"/>
      <c r="P48" s="46"/>
      <c r="Q48" s="66" t="s">
        <v>12</v>
      </c>
      <c r="R48" s="66"/>
      <c r="S48" s="30"/>
    </row>
    <row r="49" spans="1:22" ht="13.8" thickBot="1" x14ac:dyDescent="0.3">
      <c r="A49" s="2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30"/>
    </row>
    <row r="50" spans="1:22" ht="13.8" thickBot="1" x14ac:dyDescent="0.3">
      <c r="A50" s="29"/>
      <c r="B50" s="52" t="s">
        <v>9</v>
      </c>
      <c r="C50" s="52"/>
      <c r="D50" s="47"/>
      <c r="E50" s="55">
        <v>111</v>
      </c>
      <c r="F50" s="56"/>
      <c r="G50" s="47"/>
      <c r="H50" s="52" t="s">
        <v>13</v>
      </c>
      <c r="I50" s="52"/>
      <c r="J50" s="52"/>
      <c r="K50" s="52"/>
      <c r="L50" s="52"/>
      <c r="M50" s="6"/>
      <c r="N50" s="55">
        <v>32</v>
      </c>
      <c r="O50" s="56"/>
      <c r="P50" s="47"/>
      <c r="Q50" s="55">
        <v>31</v>
      </c>
      <c r="R50" s="56"/>
      <c r="S50" s="30"/>
      <c r="V50" s="34"/>
    </row>
    <row r="51" spans="1:22" ht="13.8" thickBot="1" x14ac:dyDescent="0.3">
      <c r="A51" s="29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6"/>
      <c r="N51" s="47"/>
      <c r="O51" s="47"/>
      <c r="P51" s="47"/>
      <c r="Q51" s="47"/>
      <c r="R51" s="47"/>
      <c r="S51" s="30"/>
    </row>
    <row r="52" spans="1:22" ht="13.8" thickBot="1" x14ac:dyDescent="0.3">
      <c r="A52" s="29"/>
      <c r="B52" s="52" t="s">
        <v>10</v>
      </c>
      <c r="C52" s="52"/>
      <c r="D52" s="47"/>
      <c r="E52" s="55">
        <v>121</v>
      </c>
      <c r="F52" s="56"/>
      <c r="G52" s="47"/>
      <c r="H52" s="52" t="s">
        <v>14</v>
      </c>
      <c r="I52" s="52"/>
      <c r="J52" s="52"/>
      <c r="K52" s="52"/>
      <c r="L52" s="52"/>
      <c r="M52" s="6"/>
      <c r="N52" s="55">
        <v>32</v>
      </c>
      <c r="O52" s="56"/>
      <c r="P52" s="47"/>
      <c r="Q52" s="55">
        <v>32</v>
      </c>
      <c r="R52" s="56"/>
      <c r="S52" s="30"/>
      <c r="V52" s="2"/>
    </row>
    <row r="53" spans="1:22" x14ac:dyDescent="0.25">
      <c r="A53" s="2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7"/>
      <c r="O53" s="47"/>
      <c r="P53" s="47"/>
      <c r="Q53" s="47"/>
      <c r="R53" s="47"/>
      <c r="S53" s="30"/>
    </row>
    <row r="54" spans="1:22" ht="0.75" customHeight="1" thickBot="1" x14ac:dyDescent="0.3">
      <c r="A54" s="2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7"/>
      <c r="O54" s="47"/>
      <c r="P54" s="47"/>
      <c r="Q54" s="48"/>
      <c r="R54" s="48"/>
      <c r="S54" s="30"/>
    </row>
    <row r="55" spans="1:22" ht="13.8" thickBot="1" x14ac:dyDescent="0.3">
      <c r="A55" s="29"/>
      <c r="B55" s="67"/>
      <c r="C55" s="67"/>
      <c r="D55" s="6"/>
      <c r="E55" s="65"/>
      <c r="F55" s="65"/>
      <c r="G55" s="6"/>
      <c r="H55" s="66" t="s">
        <v>24</v>
      </c>
      <c r="I55" s="66"/>
      <c r="J55" s="66"/>
      <c r="K55" s="66"/>
      <c r="L55" s="66"/>
      <c r="M55" s="6"/>
      <c r="N55" s="62">
        <f>SUM(E50,E52,N50,Q50,N52,Q52)</f>
        <v>359</v>
      </c>
      <c r="O55" s="63"/>
      <c r="P55" s="47"/>
      <c r="Q55" s="64"/>
      <c r="R55" s="64"/>
      <c r="S55" s="30"/>
    </row>
    <row r="56" spans="1:22" ht="8.25" customHeight="1" x14ac:dyDescent="0.25">
      <c r="A56" s="2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25"/>
      <c r="R56" s="25"/>
      <c r="S56" s="30"/>
    </row>
    <row r="57" spans="1:22" hidden="1" x14ac:dyDescent="0.25">
      <c r="A57" s="2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30"/>
    </row>
    <row r="58" spans="1:22" ht="13.8" thickBot="1" x14ac:dyDescent="0.3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3"/>
    </row>
    <row r="59" spans="1:22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22" ht="19.5" customHeight="1" x14ac:dyDescent="0.35">
      <c r="A60"/>
      <c r="B60" s="4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/>
      <c r="P60"/>
      <c r="Q60"/>
      <c r="R60"/>
      <c r="S60"/>
      <c r="T60"/>
      <c r="U60"/>
      <c r="V60"/>
    </row>
    <row r="61" spans="1:22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x14ac:dyDescent="0.25">
      <c r="A62"/>
      <c r="B62" s="38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x14ac:dyDescent="0.25">
      <c r="A63"/>
      <c r="B63" s="38"/>
      <c r="C63" s="20"/>
      <c r="D63" s="20"/>
      <c r="E63" s="20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x14ac:dyDescent="0.25">
      <c r="A64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/>
      <c r="V64"/>
    </row>
    <row r="65" spans="1:26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6" x14ac:dyDescent="0.25">
      <c r="B66"/>
    </row>
    <row r="75" spans="1:26" x14ac:dyDescent="0.25">
      <c r="A75"/>
      <c r="B75"/>
    </row>
    <row r="76" spans="1:26" x14ac:dyDescent="0.25">
      <c r="B76" s="39" t="s">
        <v>15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</sheetData>
  <customSheetViews>
    <customSheetView guid="{DB0EBCF3-C1A8-4AEF-A43E-259C9A0DED1D}" showGridLines="0" zeroValues="0" hiddenRows="1" topLeftCell="A39">
      <selection activeCell="Q42" sqref="Q42"/>
      <pageMargins left="0.75" right="0.5" top="0.5" bottom="0.5" header="0.5" footer="0.5"/>
      <printOptions horizontalCentered="1" verticalCentered="1"/>
      <pageSetup orientation="portrait" errors="blank" verticalDpi="0" r:id="rId1"/>
      <headerFooter alignWithMargins="0"/>
    </customSheetView>
    <customSheetView guid="{9293A698-B523-4AB5-896C-61D9929F2845}" showGridLines="0" zeroValues="0" hiddenRows="1" topLeftCell="A39">
      <selection activeCell="Y17" sqref="Y17"/>
      <pageMargins left="0.75" right="0.5" top="0.5" bottom="0.5" header="0.5" footer="0.5"/>
      <printOptions horizontalCentered="1" verticalCentered="1"/>
      <pageSetup orientation="portrait" errors="blank" verticalDpi="0" r:id="rId2"/>
      <headerFooter alignWithMargins="0"/>
    </customSheetView>
  </customSheetViews>
  <mergeCells count="73">
    <mergeCell ref="O4:T6"/>
    <mergeCell ref="K41:O41"/>
    <mergeCell ref="Q41:R41"/>
    <mergeCell ref="A45:P45"/>
    <mergeCell ref="Q48:R48"/>
    <mergeCell ref="B43:F43"/>
    <mergeCell ref="K43:O43"/>
    <mergeCell ref="N48:O48"/>
    <mergeCell ref="B48:L48"/>
    <mergeCell ref="B15:I15"/>
    <mergeCell ref="B37:I37"/>
    <mergeCell ref="B20:C20"/>
    <mergeCell ref="E20:F20"/>
    <mergeCell ref="H20:I20"/>
    <mergeCell ref="B19:I19"/>
    <mergeCell ref="B14:I14"/>
    <mergeCell ref="N55:O55"/>
    <mergeCell ref="E52:F52"/>
    <mergeCell ref="H52:L52"/>
    <mergeCell ref="B50:C50"/>
    <mergeCell ref="Q50:R50"/>
    <mergeCell ref="N50:O50"/>
    <mergeCell ref="H50:L50"/>
    <mergeCell ref="E50:F50"/>
    <mergeCell ref="Q55:R55"/>
    <mergeCell ref="Q52:R52"/>
    <mergeCell ref="N52:O52"/>
    <mergeCell ref="E55:F55"/>
    <mergeCell ref="H55:L55"/>
    <mergeCell ref="B55:C55"/>
    <mergeCell ref="B52:C52"/>
    <mergeCell ref="K2:M2"/>
    <mergeCell ref="K4:M4"/>
    <mergeCell ref="B13:I13"/>
    <mergeCell ref="B12:C12"/>
    <mergeCell ref="E12:F12"/>
    <mergeCell ref="B9:I9"/>
    <mergeCell ref="B11:I11"/>
    <mergeCell ref="H12:I12"/>
    <mergeCell ref="B6:C6"/>
    <mergeCell ref="E6:F6"/>
    <mergeCell ref="H6:I6"/>
    <mergeCell ref="E4:F4"/>
    <mergeCell ref="B2:C2"/>
    <mergeCell ref="E2:F2"/>
    <mergeCell ref="B28:C28"/>
    <mergeCell ref="H28:I28"/>
    <mergeCell ref="H16:I16"/>
    <mergeCell ref="B16:C16"/>
    <mergeCell ref="E16:F16"/>
    <mergeCell ref="B21:I21"/>
    <mergeCell ref="B27:I27"/>
    <mergeCell ref="B24:C24"/>
    <mergeCell ref="E24:F24"/>
    <mergeCell ref="B17:I17"/>
    <mergeCell ref="B25:I25"/>
    <mergeCell ref="B23:I23"/>
    <mergeCell ref="B41:F41"/>
    <mergeCell ref="H2:I2"/>
    <mergeCell ref="B31:I31"/>
    <mergeCell ref="B35:I35"/>
    <mergeCell ref="H4:I4"/>
    <mergeCell ref="B4:C4"/>
    <mergeCell ref="B36:C36"/>
    <mergeCell ref="E36:F36"/>
    <mergeCell ref="H36:I36"/>
    <mergeCell ref="B33:I33"/>
    <mergeCell ref="E28:F28"/>
    <mergeCell ref="B32:C32"/>
    <mergeCell ref="E32:F32"/>
    <mergeCell ref="H32:I32"/>
    <mergeCell ref="B29:I29"/>
    <mergeCell ref="H24:I24"/>
  </mergeCells>
  <phoneticPr fontId="2" type="noConversion"/>
  <conditionalFormatting sqref="I41:I42 I46">
    <cfRule type="cellIs" priority="7" stopIfTrue="1" operator="equal">
      <formula>0</formula>
    </cfRule>
  </conditionalFormatting>
  <conditionalFormatting sqref="H41:H42 H46">
    <cfRule type="cellIs" dxfId="6" priority="8" stopIfTrue="1" operator="notBetween">
      <formula>0</formula>
      <formula>40</formula>
    </cfRule>
  </conditionalFormatting>
  <conditionalFormatting sqref="K41:Q41 S41">
    <cfRule type="expression" dxfId="5" priority="3" stopIfTrue="1">
      <formula>iserror</formula>
    </cfRule>
  </conditionalFormatting>
  <conditionalFormatting sqref="B43:G44 I43:P44 R43:S44">
    <cfRule type="expression" dxfId="4" priority="4" stopIfTrue="1">
      <formula>iserror</formula>
    </cfRule>
  </conditionalFormatting>
  <conditionalFormatting sqref="H43:H44">
    <cfRule type="cellIs" dxfId="3" priority="5" stopIfTrue="1" operator="lessThanOrEqual">
      <formula>500</formula>
    </cfRule>
  </conditionalFormatting>
  <conditionalFormatting sqref="Q43:Q44">
    <cfRule type="cellIs" dxfId="2" priority="6" stopIfTrue="1" operator="lessThanOrEqual">
      <formula>750</formula>
    </cfRule>
  </conditionalFormatting>
  <conditionalFormatting sqref="O4">
    <cfRule type="expression" dxfId="1" priority="2" stopIfTrue="1">
      <formula>iserror</formula>
    </cfRule>
  </conditionalFormatting>
  <conditionalFormatting sqref="O4">
    <cfRule type="expression" dxfId="0" priority="1" stopIfTrue="1">
      <formula>iserror</formula>
    </cfRule>
  </conditionalFormatting>
  <hyperlinks>
    <hyperlink ref="O4:T6" r:id="rId3" display="Four Hour Body: Body Composition"/>
    <hyperlink ref="O4" r:id="rId4"/>
  </hyperlinks>
  <printOptions horizontalCentered="1" verticalCentered="1"/>
  <pageMargins left="0.75" right="0.5" top="0.5" bottom="0.5" header="0.5" footer="0.5"/>
  <pageSetup orientation="portrait" errors="blank" verticalDpi="0" r:id="rId5"/>
  <headerFooter alignWithMargins="0"/>
  <customProperties>
    <customPr name="DVSECTIONID" r:id="rId6"/>
  </customProperties>
  <drawing r:id="rId7"/>
  <legacyDrawing r:id="rId8"/>
  <picture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6"/>
  <sheetViews>
    <sheetView workbookViewId="0">
      <selection activeCell="BK6" sqref="BK6"/>
    </sheetView>
  </sheetViews>
  <sheetFormatPr defaultRowHeight="13.2" x14ac:dyDescent="0.25"/>
  <sheetData>
    <row r="1" spans="1:256" x14ac:dyDescent="0.25">
      <c r="A1">
        <f>IF(fitumæling!1:1,"AAAAAHb3PwA=",0)</f>
        <v>0</v>
      </c>
      <c r="B1" t="e">
        <f>AND(fitumæling!A1,"AAAAAHb3PwE=")</f>
        <v>#VALUE!</v>
      </c>
      <c r="C1" t="e">
        <f>AND(fitumæling!B1,"AAAAAHb3PwI=")</f>
        <v>#VALUE!</v>
      </c>
      <c r="D1" t="e">
        <f>AND(fitumæling!C1,"AAAAAHb3PwM=")</f>
        <v>#VALUE!</v>
      </c>
      <c r="E1" t="e">
        <f>AND(fitumæling!D1,"AAAAAHb3PwQ=")</f>
        <v>#VALUE!</v>
      </c>
      <c r="F1" t="e">
        <f>AND(fitumæling!E1,"AAAAAHb3PwU=")</f>
        <v>#VALUE!</v>
      </c>
      <c r="G1" t="e">
        <f>AND(fitumæling!F1,"AAAAAHb3PwY=")</f>
        <v>#VALUE!</v>
      </c>
      <c r="H1" t="e">
        <f>AND(fitumæling!G1,"AAAAAHb3Pwc=")</f>
        <v>#VALUE!</v>
      </c>
      <c r="I1" t="e">
        <f>AND(fitumæling!H1,"AAAAAHb3Pwg=")</f>
        <v>#VALUE!</v>
      </c>
      <c r="J1" t="e">
        <f>AND(fitumæling!I1,"AAAAAHb3Pwk=")</f>
        <v>#VALUE!</v>
      </c>
      <c r="K1" t="e">
        <f>AND(fitumæling!J1,"AAAAAHb3Pwo=")</f>
        <v>#VALUE!</v>
      </c>
      <c r="L1" t="e">
        <f>AND(fitumæling!K1,"AAAAAHb3Pws=")</f>
        <v>#VALUE!</v>
      </c>
      <c r="M1" t="e">
        <f>AND(fitumæling!L1,"AAAAAHb3Pww=")</f>
        <v>#VALUE!</v>
      </c>
      <c r="N1" t="e">
        <f>AND(fitumæling!M1,"AAAAAHb3Pw0=")</f>
        <v>#VALUE!</v>
      </c>
      <c r="O1" t="e">
        <f>AND(fitumæling!N1,"AAAAAHb3Pw4=")</f>
        <v>#VALUE!</v>
      </c>
      <c r="P1" t="e">
        <f>AND(fitumæling!O1,"AAAAAHb3Pw8=")</f>
        <v>#VALUE!</v>
      </c>
      <c r="Q1" t="e">
        <f>AND(fitumæling!P1,"AAAAAHb3PxA=")</f>
        <v>#VALUE!</v>
      </c>
      <c r="R1" t="e">
        <f>AND(fitumæling!Q1,"AAAAAHb3PxE=")</f>
        <v>#VALUE!</v>
      </c>
      <c r="S1" t="e">
        <f>AND(fitumæling!R1,"AAAAAHb3PxI=")</f>
        <v>#VALUE!</v>
      </c>
      <c r="T1" t="e">
        <f>AND(fitumæling!S1,"AAAAAHb3PxM=")</f>
        <v>#VALUE!</v>
      </c>
      <c r="U1" t="e">
        <f>AND(fitumæling!T1,"AAAAAHb3PxQ=")</f>
        <v>#VALUE!</v>
      </c>
      <c r="V1" t="e">
        <f>AND(fitumæling!U1,"AAAAAHb3PxU=")</f>
        <v>#VALUE!</v>
      </c>
      <c r="W1">
        <f>IF(fitumæling!2:2,"AAAAAHb3PxY=",0)</f>
        <v>0</v>
      </c>
      <c r="X1" t="e">
        <f>AND(fitumæling!A2,"AAAAAHb3Pxc=")</f>
        <v>#VALUE!</v>
      </c>
      <c r="Y1" t="e">
        <f>AND(fitumæling!B2,"AAAAAHb3Pxg=")</f>
        <v>#VALUE!</v>
      </c>
      <c r="Z1" t="e">
        <f>AND(fitumæling!C2,"AAAAAHb3Pxk=")</f>
        <v>#VALUE!</v>
      </c>
      <c r="AA1" t="e">
        <f>AND(fitumæling!D2,"AAAAAHb3Pxo=")</f>
        <v>#VALUE!</v>
      </c>
      <c r="AB1" t="e">
        <f>AND(fitumæling!E2,"AAAAAHb3Pxs=")</f>
        <v>#VALUE!</v>
      </c>
      <c r="AC1" t="e">
        <f>AND(fitumæling!F2,"AAAAAHb3Pxw=")</f>
        <v>#VALUE!</v>
      </c>
      <c r="AD1" t="e">
        <f>AND(fitumæling!G2,"AAAAAHb3Px0=")</f>
        <v>#VALUE!</v>
      </c>
      <c r="AE1" t="e">
        <f>AND(fitumæling!H2,"AAAAAHb3Px4=")</f>
        <v>#VALUE!</v>
      </c>
      <c r="AF1" t="e">
        <f>AND(fitumæling!I2,"AAAAAHb3Px8=")</f>
        <v>#VALUE!</v>
      </c>
      <c r="AG1" t="e">
        <f>AND(fitumæling!J2,"AAAAAHb3PyA=")</f>
        <v>#VALUE!</v>
      </c>
      <c r="AH1" t="e">
        <f>AND(fitumæling!K2,"AAAAAHb3PyE=")</f>
        <v>#VALUE!</v>
      </c>
      <c r="AI1" t="e">
        <f>AND(fitumæling!L2,"AAAAAHb3PyI=")</f>
        <v>#VALUE!</v>
      </c>
      <c r="AJ1" t="e">
        <f>AND(fitumæling!M2,"AAAAAHb3PyM=")</f>
        <v>#VALUE!</v>
      </c>
      <c r="AK1" t="e">
        <f>AND(fitumæling!N2,"AAAAAHb3PyQ=")</f>
        <v>#VALUE!</v>
      </c>
      <c r="AL1" t="e">
        <f>AND(fitumæling!O2,"AAAAAHb3PyU=")</f>
        <v>#VALUE!</v>
      </c>
      <c r="AM1" t="e">
        <f>AND(fitumæling!P2,"AAAAAHb3PyY=")</f>
        <v>#VALUE!</v>
      </c>
      <c r="AN1" t="e">
        <f>AND(fitumæling!Q2,"AAAAAHb3Pyc=")</f>
        <v>#VALUE!</v>
      </c>
      <c r="AO1" t="e">
        <f>AND(fitumæling!R2,"AAAAAHb3Pyg=")</f>
        <v>#VALUE!</v>
      </c>
      <c r="AP1" t="e">
        <f>AND(fitumæling!S2,"AAAAAHb3Pyk=")</f>
        <v>#VALUE!</v>
      </c>
      <c r="AQ1" t="e">
        <f>AND(fitumæling!T2,"AAAAAHb3Pyo=")</f>
        <v>#VALUE!</v>
      </c>
      <c r="AR1" t="e">
        <f>AND(fitumæling!U2,"AAAAAHb3Pys=")</f>
        <v>#VALUE!</v>
      </c>
      <c r="AS1">
        <f>IF(fitumæling!3:3,"AAAAAHb3Pyw=",0)</f>
        <v>0</v>
      </c>
      <c r="AT1" t="e">
        <f>AND(fitumæling!A3,"AAAAAHb3Py0=")</f>
        <v>#VALUE!</v>
      </c>
      <c r="AU1" t="e">
        <f>AND(fitumæling!B3,"AAAAAHb3Py4=")</f>
        <v>#VALUE!</v>
      </c>
      <c r="AV1" t="e">
        <f>AND(fitumæling!C3,"AAAAAHb3Py8=")</f>
        <v>#VALUE!</v>
      </c>
      <c r="AW1" t="e">
        <f>AND(fitumæling!D3,"AAAAAHb3PzA=")</f>
        <v>#VALUE!</v>
      </c>
      <c r="AX1" t="e">
        <f>AND(fitumæling!E3,"AAAAAHb3PzE=")</f>
        <v>#VALUE!</v>
      </c>
      <c r="AY1" t="e">
        <f>AND(fitumæling!F3,"AAAAAHb3PzI=")</f>
        <v>#VALUE!</v>
      </c>
      <c r="AZ1" t="e">
        <f>AND(fitumæling!G3,"AAAAAHb3PzM=")</f>
        <v>#VALUE!</v>
      </c>
      <c r="BA1" t="e">
        <f>AND(fitumæling!H3,"AAAAAHb3PzQ=")</f>
        <v>#VALUE!</v>
      </c>
      <c r="BB1" t="e">
        <f>AND(fitumæling!I3,"AAAAAHb3PzU=")</f>
        <v>#VALUE!</v>
      </c>
      <c r="BC1" t="e">
        <f>AND(fitumæling!J3,"AAAAAHb3PzY=")</f>
        <v>#VALUE!</v>
      </c>
      <c r="BD1" t="e">
        <f>AND(fitumæling!K3,"AAAAAHb3Pzc=")</f>
        <v>#VALUE!</v>
      </c>
      <c r="BE1" t="e">
        <f>AND(fitumæling!L3,"AAAAAHb3Pzg=")</f>
        <v>#VALUE!</v>
      </c>
      <c r="BF1" t="e">
        <f>AND(fitumæling!M3,"AAAAAHb3Pzk=")</f>
        <v>#VALUE!</v>
      </c>
      <c r="BG1" t="e">
        <f>AND(fitumæling!N3,"AAAAAHb3Pzo=")</f>
        <v>#VALUE!</v>
      </c>
      <c r="BH1" t="e">
        <f>AND(fitumæling!O3,"AAAAAHb3Pzs=")</f>
        <v>#VALUE!</v>
      </c>
      <c r="BI1" t="e">
        <f>AND(fitumæling!P3,"AAAAAHb3Pzw=")</f>
        <v>#VALUE!</v>
      </c>
      <c r="BJ1" t="e">
        <f>AND(fitumæling!Q3,"AAAAAHb3Pz0=")</f>
        <v>#VALUE!</v>
      </c>
      <c r="BK1" t="e">
        <f>AND(fitumæling!R3,"AAAAAHb3Pz4=")</f>
        <v>#VALUE!</v>
      </c>
      <c r="BL1" t="e">
        <f>AND(fitumæling!S3,"AAAAAHb3Pz8=")</f>
        <v>#VALUE!</v>
      </c>
      <c r="BM1" t="e">
        <f>AND(fitumæling!T3,"AAAAAHb3P0A=")</f>
        <v>#VALUE!</v>
      </c>
      <c r="BN1" t="e">
        <f>AND(fitumæling!U3,"AAAAAHb3P0E=")</f>
        <v>#VALUE!</v>
      </c>
      <c r="BO1">
        <f>IF(fitumæling!4:4,"AAAAAHb3P0I=",0)</f>
        <v>0</v>
      </c>
      <c r="BP1" t="e">
        <f>AND(fitumæling!A4,"AAAAAHb3P0M=")</f>
        <v>#VALUE!</v>
      </c>
      <c r="BQ1" t="e">
        <f>AND(fitumæling!B4,"AAAAAHb3P0Q=")</f>
        <v>#VALUE!</v>
      </c>
      <c r="BR1" t="e">
        <f>AND(fitumæling!C4,"AAAAAHb3P0U=")</f>
        <v>#VALUE!</v>
      </c>
      <c r="BS1" t="e">
        <f>AND(fitumæling!D4,"AAAAAHb3P0Y=")</f>
        <v>#VALUE!</v>
      </c>
      <c r="BT1" t="e">
        <f>AND(fitumæling!E4,"AAAAAHb3P0c=")</f>
        <v>#VALUE!</v>
      </c>
      <c r="BU1" t="e">
        <f>AND(fitumæling!F4,"AAAAAHb3P0g=")</f>
        <v>#VALUE!</v>
      </c>
      <c r="BV1" t="e">
        <f>AND(fitumæling!G4,"AAAAAHb3P0k=")</f>
        <v>#VALUE!</v>
      </c>
      <c r="BW1" t="e">
        <f>AND(fitumæling!H4,"AAAAAHb3P0o=")</f>
        <v>#VALUE!</v>
      </c>
      <c r="BX1" t="e">
        <f>AND(fitumæling!I4,"AAAAAHb3P0s=")</f>
        <v>#VALUE!</v>
      </c>
      <c r="BY1" t="e">
        <f>AND(fitumæling!J4,"AAAAAHb3P0w=")</f>
        <v>#VALUE!</v>
      </c>
      <c r="BZ1" t="e">
        <f>AND(fitumæling!K4,"AAAAAHb3P00=")</f>
        <v>#VALUE!</v>
      </c>
      <c r="CA1" t="e">
        <f>AND(fitumæling!L4,"AAAAAHb3P04=")</f>
        <v>#VALUE!</v>
      </c>
      <c r="CB1" t="e">
        <f>AND(fitumæling!M4,"AAAAAHb3P08=")</f>
        <v>#VALUE!</v>
      </c>
      <c r="CC1" t="e">
        <f>AND(fitumæling!N4,"AAAAAHb3P1A=")</f>
        <v>#VALUE!</v>
      </c>
      <c r="CD1" t="e">
        <f>AND(fitumæling!#REF!,"AAAAAHb3P1E=")</f>
        <v>#REF!</v>
      </c>
      <c r="CE1" t="e">
        <f>AND(fitumæling!#REF!,"AAAAAHb3P1I=")</f>
        <v>#REF!</v>
      </c>
      <c r="CF1" t="e">
        <f>AND(fitumæling!#REF!,"AAAAAHb3P1M=")</f>
        <v>#REF!</v>
      </c>
      <c r="CG1" t="e">
        <f>AND(fitumæling!#REF!,"AAAAAHb3P1Q=")</f>
        <v>#REF!</v>
      </c>
      <c r="CH1" t="e">
        <f>AND(fitumæling!#REF!,"AAAAAHb3P1U=")</f>
        <v>#REF!</v>
      </c>
      <c r="CI1" t="e">
        <f>AND(fitumæling!#REF!,"AAAAAHb3P1Y=")</f>
        <v>#REF!</v>
      </c>
      <c r="CJ1" t="e">
        <f>AND(fitumæling!O4,"AAAAAHb3P1c=")</f>
        <v>#VALUE!</v>
      </c>
      <c r="CK1">
        <f>IF(fitumæling!5:5,"AAAAAHb3P1g=",0)</f>
        <v>0</v>
      </c>
      <c r="CL1" t="e">
        <f>AND(fitumæling!A5,"AAAAAHb3P1k=")</f>
        <v>#VALUE!</v>
      </c>
      <c r="CM1" t="e">
        <f>AND(fitumæling!B5,"AAAAAHb3P1o=")</f>
        <v>#VALUE!</v>
      </c>
      <c r="CN1" t="e">
        <f>AND(fitumæling!C5,"AAAAAHb3P1s=")</f>
        <v>#VALUE!</v>
      </c>
      <c r="CO1" t="e">
        <f>AND(fitumæling!D5,"AAAAAHb3P1w=")</f>
        <v>#VALUE!</v>
      </c>
      <c r="CP1" t="e">
        <f>AND(fitumæling!E5,"AAAAAHb3P10=")</f>
        <v>#VALUE!</v>
      </c>
      <c r="CQ1" t="e">
        <f>AND(fitumæling!F5,"AAAAAHb3P14=")</f>
        <v>#VALUE!</v>
      </c>
      <c r="CR1" t="e">
        <f>AND(fitumæling!G5,"AAAAAHb3P18=")</f>
        <v>#VALUE!</v>
      </c>
      <c r="CS1" t="e">
        <f>AND(fitumæling!H5,"AAAAAHb3P2A=")</f>
        <v>#VALUE!</v>
      </c>
      <c r="CT1" t="e">
        <f>AND(fitumæling!I5,"AAAAAHb3P2E=")</f>
        <v>#VALUE!</v>
      </c>
      <c r="CU1" t="e">
        <f>AND(fitumæling!J5,"AAAAAHb3P2I=")</f>
        <v>#VALUE!</v>
      </c>
      <c r="CV1" t="e">
        <f>AND(fitumæling!K5,"AAAAAHb3P2M=")</f>
        <v>#VALUE!</v>
      </c>
      <c r="CW1" t="e">
        <f>AND(fitumæling!L5,"AAAAAHb3P2Q=")</f>
        <v>#VALUE!</v>
      </c>
      <c r="CX1" t="e">
        <f>AND(fitumæling!M5,"AAAAAHb3P2U=")</f>
        <v>#VALUE!</v>
      </c>
      <c r="CY1" t="e">
        <f>AND(fitumæling!N5,"AAAAAHb3P2Y=")</f>
        <v>#VALUE!</v>
      </c>
      <c r="CZ1" t="e">
        <f>AND(fitumæling!#REF!,"AAAAAHb3P2c=")</f>
        <v>#REF!</v>
      </c>
      <c r="DA1" t="e">
        <f>AND(fitumæling!#REF!,"AAAAAHb3P2g=")</f>
        <v>#REF!</v>
      </c>
      <c r="DB1" t="e">
        <f>AND(fitumæling!#REF!,"AAAAAHb3P2k=")</f>
        <v>#REF!</v>
      </c>
      <c r="DC1" t="e">
        <f>AND(fitumæling!#REF!,"AAAAAHb3P2o=")</f>
        <v>#REF!</v>
      </c>
      <c r="DD1" t="e">
        <f>AND(fitumæling!#REF!,"AAAAAHb3P2s=")</f>
        <v>#REF!</v>
      </c>
      <c r="DE1" t="e">
        <f>AND(fitumæling!#REF!,"AAAAAHb3P2w=")</f>
        <v>#REF!</v>
      </c>
      <c r="DF1" t="e">
        <f>AND(fitumæling!O5,"AAAAAHb3P20=")</f>
        <v>#VALUE!</v>
      </c>
      <c r="DG1">
        <f>IF(fitumæling!6:6,"AAAAAHb3P24=",0)</f>
        <v>0</v>
      </c>
      <c r="DH1" t="e">
        <f>AND(fitumæling!A6,"AAAAAHb3P28=")</f>
        <v>#VALUE!</v>
      </c>
      <c r="DI1" t="e">
        <f>AND(fitumæling!B6,"AAAAAHb3P3A=")</f>
        <v>#VALUE!</v>
      </c>
      <c r="DJ1" t="e">
        <f>AND(fitumæling!C6,"AAAAAHb3P3E=")</f>
        <v>#VALUE!</v>
      </c>
      <c r="DK1" t="e">
        <f>AND(fitumæling!D6,"AAAAAHb3P3I=")</f>
        <v>#VALUE!</v>
      </c>
      <c r="DL1" t="e">
        <f>AND(fitumæling!E6,"AAAAAHb3P3M=")</f>
        <v>#VALUE!</v>
      </c>
      <c r="DM1" t="e">
        <f>AND(fitumæling!F6,"AAAAAHb3P3Q=")</f>
        <v>#VALUE!</v>
      </c>
      <c r="DN1" t="e">
        <f>AND(fitumæling!G6,"AAAAAHb3P3U=")</f>
        <v>#VALUE!</v>
      </c>
      <c r="DO1" t="e">
        <f>AND(fitumæling!H6,"AAAAAHb3P3Y=")</f>
        <v>#VALUE!</v>
      </c>
      <c r="DP1" t="e">
        <f>AND(fitumæling!I6,"AAAAAHb3P3c=")</f>
        <v>#VALUE!</v>
      </c>
      <c r="DQ1" t="e">
        <f>AND(fitumæling!J6,"AAAAAHb3P3g=")</f>
        <v>#VALUE!</v>
      </c>
      <c r="DR1" t="e">
        <f>AND(fitumæling!K6,"AAAAAHb3P3k=")</f>
        <v>#VALUE!</v>
      </c>
      <c r="DS1" t="e">
        <f>AND(fitumæling!L6,"AAAAAHb3P3o=")</f>
        <v>#VALUE!</v>
      </c>
      <c r="DT1" t="e">
        <f>AND(fitumæling!M6,"AAAAAHb3P3s=")</f>
        <v>#VALUE!</v>
      </c>
      <c r="DU1" t="e">
        <f>AND(fitumæling!N6,"AAAAAHb3P3w=")</f>
        <v>#VALUE!</v>
      </c>
      <c r="DV1" t="e">
        <f>AND(fitumæling!#REF!,"AAAAAHb3P30=")</f>
        <v>#REF!</v>
      </c>
      <c r="DW1" t="e">
        <f>AND(fitumæling!#REF!,"AAAAAHb3P34=")</f>
        <v>#REF!</v>
      </c>
      <c r="DX1" t="e">
        <f>AND(fitumæling!#REF!,"AAAAAHb3P38=")</f>
        <v>#REF!</v>
      </c>
      <c r="DY1" t="e">
        <f>AND(fitumæling!#REF!,"AAAAAHb3P4A=")</f>
        <v>#REF!</v>
      </c>
      <c r="DZ1" t="e">
        <f>AND(fitumæling!#REF!,"AAAAAHb3P4E=")</f>
        <v>#REF!</v>
      </c>
      <c r="EA1" t="e">
        <f>AND(fitumæling!#REF!,"AAAAAHb3P4I=")</f>
        <v>#REF!</v>
      </c>
      <c r="EB1" t="e">
        <f>AND(fitumæling!O6,"AAAAAHb3P4M=")</f>
        <v>#VALUE!</v>
      </c>
      <c r="EC1">
        <f>IF(fitumæling!7:7,"AAAAAHb3P4Q=",0)</f>
        <v>0</v>
      </c>
      <c r="ED1" t="e">
        <f>AND(fitumæling!A7,"AAAAAHb3P4U=")</f>
        <v>#VALUE!</v>
      </c>
      <c r="EE1" t="e">
        <f>AND(fitumæling!B7,"AAAAAHb3P4Y=")</f>
        <v>#VALUE!</v>
      </c>
      <c r="EF1" t="e">
        <f>AND(fitumæling!C7,"AAAAAHb3P4c=")</f>
        <v>#VALUE!</v>
      </c>
      <c r="EG1" t="e">
        <f>AND(fitumæling!D7,"AAAAAHb3P4g=")</f>
        <v>#VALUE!</v>
      </c>
      <c r="EH1" t="e">
        <f>AND(fitumæling!E7,"AAAAAHb3P4k=")</f>
        <v>#VALUE!</v>
      </c>
      <c r="EI1" t="e">
        <f>AND(fitumæling!F7,"AAAAAHb3P4o=")</f>
        <v>#VALUE!</v>
      </c>
      <c r="EJ1" t="e">
        <f>AND(fitumæling!G7,"AAAAAHb3P4s=")</f>
        <v>#VALUE!</v>
      </c>
      <c r="EK1" t="e">
        <f>AND(fitumæling!H7,"AAAAAHb3P4w=")</f>
        <v>#VALUE!</v>
      </c>
      <c r="EL1" t="e">
        <f>AND(fitumæling!I7,"AAAAAHb3P40=")</f>
        <v>#VALUE!</v>
      </c>
      <c r="EM1" t="e">
        <f>AND(fitumæling!J7,"AAAAAHb3P44=")</f>
        <v>#VALUE!</v>
      </c>
      <c r="EN1" t="e">
        <f>AND(fitumæling!K7,"AAAAAHb3P48=")</f>
        <v>#VALUE!</v>
      </c>
      <c r="EO1" t="e">
        <f>AND(fitumæling!L7,"AAAAAHb3P5A=")</f>
        <v>#VALUE!</v>
      </c>
      <c r="EP1" t="e">
        <f>AND(fitumæling!M7,"AAAAAHb3P5E=")</f>
        <v>#VALUE!</v>
      </c>
      <c r="EQ1" t="e">
        <f>AND(fitumæling!N7,"AAAAAHb3P5I=")</f>
        <v>#VALUE!</v>
      </c>
      <c r="ER1" t="e">
        <f>AND(fitumæling!O7,"AAAAAHb3P5M=")</f>
        <v>#VALUE!</v>
      </c>
      <c r="ES1" t="e">
        <f>AND(fitumæling!P7,"AAAAAHb3P5Q=")</f>
        <v>#VALUE!</v>
      </c>
      <c r="ET1" t="e">
        <f>AND(fitumæling!Q7,"AAAAAHb3P5U=")</f>
        <v>#VALUE!</v>
      </c>
      <c r="EU1" t="e">
        <f>AND(fitumæling!R7,"AAAAAHb3P5Y=")</f>
        <v>#VALUE!</v>
      </c>
      <c r="EV1" t="e">
        <f>AND(fitumæling!S7,"AAAAAHb3P5c=")</f>
        <v>#VALUE!</v>
      </c>
      <c r="EW1" t="e">
        <f>AND(fitumæling!T7,"AAAAAHb3P5g=")</f>
        <v>#VALUE!</v>
      </c>
      <c r="EX1" t="e">
        <f>AND(fitumæling!U7,"AAAAAHb3P5k=")</f>
        <v>#VALUE!</v>
      </c>
      <c r="EY1">
        <f>IF(fitumæling!8:8,"AAAAAHb3P5o=",0)</f>
        <v>0</v>
      </c>
      <c r="EZ1" t="e">
        <f>AND(fitumæling!A8,"AAAAAHb3P5s=")</f>
        <v>#VALUE!</v>
      </c>
      <c r="FA1" t="e">
        <f>AND(fitumæling!B8,"AAAAAHb3P5w=")</f>
        <v>#VALUE!</v>
      </c>
      <c r="FB1" t="e">
        <f>AND(fitumæling!C8,"AAAAAHb3P50=")</f>
        <v>#VALUE!</v>
      </c>
      <c r="FC1" t="e">
        <f>AND(fitumæling!D8,"AAAAAHb3P54=")</f>
        <v>#VALUE!</v>
      </c>
      <c r="FD1" t="e">
        <f>AND(fitumæling!E8,"AAAAAHb3P58=")</f>
        <v>#VALUE!</v>
      </c>
      <c r="FE1" t="e">
        <f>AND(fitumæling!F8,"AAAAAHb3P6A=")</f>
        <v>#VALUE!</v>
      </c>
      <c r="FF1" t="e">
        <f>AND(fitumæling!G8,"AAAAAHb3P6E=")</f>
        <v>#VALUE!</v>
      </c>
      <c r="FG1" t="e">
        <f>AND(fitumæling!H8,"AAAAAHb3P6I=")</f>
        <v>#VALUE!</v>
      </c>
      <c r="FH1" t="e">
        <f>AND(fitumæling!I8,"AAAAAHb3P6M=")</f>
        <v>#VALUE!</v>
      </c>
      <c r="FI1" t="e">
        <f>AND(fitumæling!J8,"AAAAAHb3P6Q=")</f>
        <v>#VALUE!</v>
      </c>
      <c r="FJ1" t="e">
        <f>AND(fitumæling!K8,"AAAAAHb3P6U=")</f>
        <v>#VALUE!</v>
      </c>
      <c r="FK1" t="e">
        <f>AND(fitumæling!L8,"AAAAAHb3P6Y=")</f>
        <v>#VALUE!</v>
      </c>
      <c r="FL1" t="e">
        <f>AND(fitumæling!M8,"AAAAAHb3P6c=")</f>
        <v>#VALUE!</v>
      </c>
      <c r="FM1" t="e">
        <f>AND(fitumæling!N8,"AAAAAHb3P6g=")</f>
        <v>#VALUE!</v>
      </c>
      <c r="FN1" t="e">
        <f>AND(fitumæling!O8,"AAAAAHb3P6k=")</f>
        <v>#VALUE!</v>
      </c>
      <c r="FO1" t="e">
        <f>AND(fitumæling!P8,"AAAAAHb3P6o=")</f>
        <v>#VALUE!</v>
      </c>
      <c r="FP1" t="e">
        <f>AND(fitumæling!Q8,"AAAAAHb3P6s=")</f>
        <v>#VALUE!</v>
      </c>
      <c r="FQ1" t="e">
        <f>AND(fitumæling!R8,"AAAAAHb3P6w=")</f>
        <v>#VALUE!</v>
      </c>
      <c r="FR1" t="e">
        <f>AND(fitumæling!S8,"AAAAAHb3P60=")</f>
        <v>#VALUE!</v>
      </c>
      <c r="FS1" t="e">
        <f>AND(fitumæling!T8,"AAAAAHb3P64=")</f>
        <v>#VALUE!</v>
      </c>
      <c r="FT1" t="e">
        <f>AND(fitumæling!U8,"AAAAAHb3P68=")</f>
        <v>#VALUE!</v>
      </c>
      <c r="FU1">
        <f>IF(fitumæling!9:9,"AAAAAHb3P7A=",0)</f>
        <v>0</v>
      </c>
      <c r="FV1" t="e">
        <f>AND(fitumæling!A9,"AAAAAHb3P7E=")</f>
        <v>#VALUE!</v>
      </c>
      <c r="FW1" t="e">
        <f>AND(fitumæling!B9,"AAAAAHb3P7I=")</f>
        <v>#VALUE!</v>
      </c>
      <c r="FX1" t="e">
        <f>AND(fitumæling!C9,"AAAAAHb3P7M=")</f>
        <v>#VALUE!</v>
      </c>
      <c r="FY1" t="e">
        <f>AND(fitumæling!D9,"AAAAAHb3P7Q=")</f>
        <v>#VALUE!</v>
      </c>
      <c r="FZ1" t="e">
        <f>AND(fitumæling!E9,"AAAAAHb3P7U=")</f>
        <v>#VALUE!</v>
      </c>
      <c r="GA1" t="e">
        <f>AND(fitumæling!F9,"AAAAAHb3P7Y=")</f>
        <v>#VALUE!</v>
      </c>
      <c r="GB1" t="e">
        <f>AND(fitumæling!G9,"AAAAAHb3P7c=")</f>
        <v>#VALUE!</v>
      </c>
      <c r="GC1" t="e">
        <f>AND(fitumæling!H9,"AAAAAHb3P7g=")</f>
        <v>#VALUE!</v>
      </c>
      <c r="GD1" t="e">
        <f>AND(fitumæling!I9,"AAAAAHb3P7k=")</f>
        <v>#VALUE!</v>
      </c>
      <c r="GE1" t="e">
        <f>AND(fitumæling!J9,"AAAAAHb3P7o=")</f>
        <v>#VALUE!</v>
      </c>
      <c r="GF1" t="e">
        <f>AND(fitumæling!K9,"AAAAAHb3P7s=")</f>
        <v>#VALUE!</v>
      </c>
      <c r="GG1" t="e">
        <f>AND(fitumæling!L9,"AAAAAHb3P7w=")</f>
        <v>#VALUE!</v>
      </c>
      <c r="GH1" t="e">
        <f>AND(fitumæling!M9,"AAAAAHb3P70=")</f>
        <v>#VALUE!</v>
      </c>
      <c r="GI1" t="e">
        <f>AND(fitumæling!N9,"AAAAAHb3P74=")</f>
        <v>#VALUE!</v>
      </c>
      <c r="GJ1" t="e">
        <f>AND(fitumæling!O9,"AAAAAHb3P78=")</f>
        <v>#VALUE!</v>
      </c>
      <c r="GK1" t="e">
        <f>AND(fitumæling!P9,"AAAAAHb3P8A=")</f>
        <v>#VALUE!</v>
      </c>
      <c r="GL1" t="e">
        <f>AND(fitumæling!Q9,"AAAAAHb3P8E=")</f>
        <v>#VALUE!</v>
      </c>
      <c r="GM1" t="e">
        <f>AND(fitumæling!R9,"AAAAAHb3P8I=")</f>
        <v>#VALUE!</v>
      </c>
      <c r="GN1" t="e">
        <f>AND(fitumæling!S9,"AAAAAHb3P8M=")</f>
        <v>#VALUE!</v>
      </c>
      <c r="GO1" t="e">
        <f>AND(fitumæling!T9,"AAAAAHb3P8Q=")</f>
        <v>#VALUE!</v>
      </c>
      <c r="GP1" t="e">
        <f>AND(fitumæling!U9,"AAAAAHb3P8U=")</f>
        <v>#VALUE!</v>
      </c>
      <c r="GQ1">
        <f>IF(fitumæling!10:10,"AAAAAHb3P8Y=",0)</f>
        <v>0</v>
      </c>
      <c r="GR1" t="e">
        <f>AND(fitumæling!A10,"AAAAAHb3P8c=")</f>
        <v>#VALUE!</v>
      </c>
      <c r="GS1" t="e">
        <f>AND(fitumæling!B10,"AAAAAHb3P8g=")</f>
        <v>#VALUE!</v>
      </c>
      <c r="GT1" t="e">
        <f>AND(fitumæling!C10,"AAAAAHb3P8k=")</f>
        <v>#VALUE!</v>
      </c>
      <c r="GU1" t="e">
        <f>AND(fitumæling!D10,"AAAAAHb3P8o=")</f>
        <v>#VALUE!</v>
      </c>
      <c r="GV1" t="e">
        <f>AND(fitumæling!E10,"AAAAAHb3P8s=")</f>
        <v>#VALUE!</v>
      </c>
      <c r="GW1" t="e">
        <f>AND(fitumæling!F10,"AAAAAHb3P8w=")</f>
        <v>#VALUE!</v>
      </c>
      <c r="GX1" t="e">
        <f>AND(fitumæling!G10,"AAAAAHb3P80=")</f>
        <v>#VALUE!</v>
      </c>
      <c r="GY1" t="e">
        <f>AND(fitumæling!H10,"AAAAAHb3P84=")</f>
        <v>#VALUE!</v>
      </c>
      <c r="GZ1" t="e">
        <f>AND(fitumæling!I10,"AAAAAHb3P88=")</f>
        <v>#VALUE!</v>
      </c>
      <c r="HA1" t="e">
        <f>AND(fitumæling!J10,"AAAAAHb3P9A=")</f>
        <v>#VALUE!</v>
      </c>
      <c r="HB1" t="e">
        <f>AND(fitumæling!K10,"AAAAAHb3P9E=")</f>
        <v>#VALUE!</v>
      </c>
      <c r="HC1" t="e">
        <f>AND(fitumæling!L10,"AAAAAHb3P9I=")</f>
        <v>#VALUE!</v>
      </c>
      <c r="HD1" t="e">
        <f>AND(fitumæling!M10,"AAAAAHb3P9M=")</f>
        <v>#VALUE!</v>
      </c>
      <c r="HE1" t="e">
        <f>AND(fitumæling!N10,"AAAAAHb3P9Q=")</f>
        <v>#VALUE!</v>
      </c>
      <c r="HF1" t="e">
        <f>AND(fitumæling!O10,"AAAAAHb3P9U=")</f>
        <v>#VALUE!</v>
      </c>
      <c r="HG1" t="e">
        <f>AND(fitumæling!P10,"AAAAAHb3P9Y=")</f>
        <v>#VALUE!</v>
      </c>
      <c r="HH1" t="e">
        <f>AND(fitumæling!Q10,"AAAAAHb3P9c=")</f>
        <v>#VALUE!</v>
      </c>
      <c r="HI1" t="e">
        <f>AND(fitumæling!R10,"AAAAAHb3P9g=")</f>
        <v>#VALUE!</v>
      </c>
      <c r="HJ1" t="e">
        <f>AND(fitumæling!S10,"AAAAAHb3P9k=")</f>
        <v>#VALUE!</v>
      </c>
      <c r="HK1" t="e">
        <f>AND(fitumæling!T10,"AAAAAHb3P9o=")</f>
        <v>#VALUE!</v>
      </c>
      <c r="HL1" t="e">
        <f>AND(fitumæling!U10,"AAAAAHb3P9s=")</f>
        <v>#VALUE!</v>
      </c>
      <c r="HM1">
        <f>IF(fitumæling!11:11,"AAAAAHb3P9w=",0)</f>
        <v>0</v>
      </c>
      <c r="HN1" t="e">
        <f>AND(fitumæling!A11,"AAAAAHb3P90=")</f>
        <v>#VALUE!</v>
      </c>
      <c r="HO1" t="e">
        <f>AND(fitumæling!B11,"AAAAAHb3P94=")</f>
        <v>#VALUE!</v>
      </c>
      <c r="HP1" t="e">
        <f>AND(fitumæling!C11,"AAAAAHb3P98=")</f>
        <v>#VALUE!</v>
      </c>
      <c r="HQ1" t="e">
        <f>AND(fitumæling!D11,"AAAAAHb3P+A=")</f>
        <v>#VALUE!</v>
      </c>
      <c r="HR1" t="e">
        <f>AND(fitumæling!E11,"AAAAAHb3P+E=")</f>
        <v>#VALUE!</v>
      </c>
      <c r="HS1" t="e">
        <f>AND(fitumæling!F11,"AAAAAHb3P+I=")</f>
        <v>#VALUE!</v>
      </c>
      <c r="HT1" t="e">
        <f>AND(fitumæling!G11,"AAAAAHb3P+M=")</f>
        <v>#VALUE!</v>
      </c>
      <c r="HU1" t="e">
        <f>AND(fitumæling!H11,"AAAAAHb3P+Q=")</f>
        <v>#VALUE!</v>
      </c>
      <c r="HV1" t="e">
        <f>AND(fitumæling!I11,"AAAAAHb3P+U=")</f>
        <v>#VALUE!</v>
      </c>
      <c r="HW1" t="e">
        <f>AND(fitumæling!J11,"AAAAAHb3P+Y=")</f>
        <v>#VALUE!</v>
      </c>
      <c r="HX1" t="e">
        <f>AND(fitumæling!K11,"AAAAAHb3P+c=")</f>
        <v>#VALUE!</v>
      </c>
      <c r="HY1" t="e">
        <f>AND(fitumæling!L11,"AAAAAHb3P+g=")</f>
        <v>#VALUE!</v>
      </c>
      <c r="HZ1" t="e">
        <f>AND(fitumæling!M11,"AAAAAHb3P+k=")</f>
        <v>#VALUE!</v>
      </c>
      <c r="IA1" t="e">
        <f>AND(fitumæling!N11,"AAAAAHb3P+o=")</f>
        <v>#VALUE!</v>
      </c>
      <c r="IB1" t="e">
        <f>AND(fitumæling!O11,"AAAAAHb3P+s=")</f>
        <v>#VALUE!</v>
      </c>
      <c r="IC1" t="e">
        <f>AND(fitumæling!P11,"AAAAAHb3P+w=")</f>
        <v>#VALUE!</v>
      </c>
      <c r="ID1" t="e">
        <f>AND(fitumæling!Q11,"AAAAAHb3P+0=")</f>
        <v>#VALUE!</v>
      </c>
      <c r="IE1" t="e">
        <f>AND(fitumæling!R11,"AAAAAHb3P+4=")</f>
        <v>#VALUE!</v>
      </c>
      <c r="IF1" t="e">
        <f>AND(fitumæling!S11,"AAAAAHb3P+8=")</f>
        <v>#VALUE!</v>
      </c>
      <c r="IG1" t="e">
        <f>AND(fitumæling!T11,"AAAAAHb3P/A=")</f>
        <v>#VALUE!</v>
      </c>
      <c r="IH1" t="e">
        <f>AND(fitumæling!U11,"AAAAAHb3P/E=")</f>
        <v>#VALUE!</v>
      </c>
      <c r="II1">
        <f>IF(fitumæling!12:12,"AAAAAHb3P/I=",0)</f>
        <v>0</v>
      </c>
      <c r="IJ1" t="e">
        <f>AND(fitumæling!A12,"AAAAAHb3P/M=")</f>
        <v>#VALUE!</v>
      </c>
      <c r="IK1" t="e">
        <f>AND(fitumæling!B12,"AAAAAHb3P/Q=")</f>
        <v>#VALUE!</v>
      </c>
      <c r="IL1" t="e">
        <f>AND(fitumæling!C12,"AAAAAHb3P/U=")</f>
        <v>#VALUE!</v>
      </c>
      <c r="IM1" t="e">
        <f>AND(fitumæling!D12,"AAAAAHb3P/Y=")</f>
        <v>#VALUE!</v>
      </c>
      <c r="IN1" t="e">
        <f>AND(fitumæling!E12,"AAAAAHb3P/c=")</f>
        <v>#VALUE!</v>
      </c>
      <c r="IO1" t="e">
        <f>AND(fitumæling!F12,"AAAAAHb3P/g=")</f>
        <v>#VALUE!</v>
      </c>
      <c r="IP1" t="e">
        <f>AND(fitumæling!G12,"AAAAAHb3P/k=")</f>
        <v>#VALUE!</v>
      </c>
      <c r="IQ1" t="e">
        <f>AND(fitumæling!H12,"AAAAAHb3P/o=")</f>
        <v>#VALUE!</v>
      </c>
      <c r="IR1" t="e">
        <f>AND(fitumæling!I12,"AAAAAHb3P/s=")</f>
        <v>#VALUE!</v>
      </c>
      <c r="IS1" t="e">
        <f>AND(fitumæling!J12,"AAAAAHb3P/w=")</f>
        <v>#VALUE!</v>
      </c>
      <c r="IT1" t="e">
        <f>AND(fitumæling!K12,"AAAAAHb3P/0=")</f>
        <v>#VALUE!</v>
      </c>
      <c r="IU1" t="e">
        <f>AND(fitumæling!L12,"AAAAAHb3P/4=")</f>
        <v>#VALUE!</v>
      </c>
      <c r="IV1" t="e">
        <f>AND(fitumæling!M12,"AAAAAHb3P/8=")</f>
        <v>#VALUE!</v>
      </c>
    </row>
    <row r="2" spans="1:256" x14ac:dyDescent="0.25">
      <c r="A2" t="e">
        <f>AND(fitumæling!N12,"AAAAAE6/1gA=")</f>
        <v>#VALUE!</v>
      </c>
      <c r="B2" t="e">
        <f>AND(fitumæling!O12,"AAAAAE6/1gE=")</f>
        <v>#VALUE!</v>
      </c>
      <c r="C2" t="e">
        <f>AND(fitumæling!P12,"AAAAAE6/1gI=")</f>
        <v>#VALUE!</v>
      </c>
      <c r="D2" t="e">
        <f>AND(fitumæling!Q12,"AAAAAE6/1gM=")</f>
        <v>#VALUE!</v>
      </c>
      <c r="E2" t="e">
        <f>AND(fitumæling!R12,"AAAAAE6/1gQ=")</f>
        <v>#VALUE!</v>
      </c>
      <c r="F2" t="e">
        <f>AND(fitumæling!S12,"AAAAAE6/1gU=")</f>
        <v>#VALUE!</v>
      </c>
      <c r="G2" t="e">
        <f>AND(fitumæling!T12,"AAAAAE6/1gY=")</f>
        <v>#VALUE!</v>
      </c>
      <c r="H2" t="e">
        <f>AND(fitumæling!U12,"AAAAAE6/1gc=")</f>
        <v>#VALUE!</v>
      </c>
      <c r="I2">
        <f>IF(fitumæling!13:13,"AAAAAE6/1gg=",0)</f>
        <v>0</v>
      </c>
      <c r="J2" t="e">
        <f>AND(fitumæling!A13,"AAAAAE6/1gk=")</f>
        <v>#VALUE!</v>
      </c>
      <c r="K2" t="e">
        <f>AND(fitumæling!B13,"AAAAAE6/1go=")</f>
        <v>#VALUE!</v>
      </c>
      <c r="L2" t="e">
        <f>AND(fitumæling!C13,"AAAAAE6/1gs=")</f>
        <v>#VALUE!</v>
      </c>
      <c r="M2" t="e">
        <f>AND(fitumæling!D13,"AAAAAE6/1gw=")</f>
        <v>#VALUE!</v>
      </c>
      <c r="N2" t="e">
        <f>AND(fitumæling!E13,"AAAAAE6/1g0=")</f>
        <v>#VALUE!</v>
      </c>
      <c r="O2" t="e">
        <f>AND(fitumæling!F13,"AAAAAE6/1g4=")</f>
        <v>#VALUE!</v>
      </c>
      <c r="P2" t="e">
        <f>AND(fitumæling!G13,"AAAAAE6/1g8=")</f>
        <v>#VALUE!</v>
      </c>
      <c r="Q2" t="e">
        <f>AND(fitumæling!H13,"AAAAAE6/1hA=")</f>
        <v>#VALUE!</v>
      </c>
      <c r="R2" t="e">
        <f>AND(fitumæling!I13,"AAAAAE6/1hE=")</f>
        <v>#VALUE!</v>
      </c>
      <c r="S2" t="e">
        <f>AND(fitumæling!J13,"AAAAAE6/1hI=")</f>
        <v>#VALUE!</v>
      </c>
      <c r="T2" t="e">
        <f>AND(fitumæling!K13,"AAAAAE6/1hM=")</f>
        <v>#VALUE!</v>
      </c>
      <c r="U2" t="e">
        <f>AND(fitumæling!L13,"AAAAAE6/1hQ=")</f>
        <v>#VALUE!</v>
      </c>
      <c r="V2" t="e">
        <f>AND(fitumæling!M13,"AAAAAE6/1hU=")</f>
        <v>#VALUE!</v>
      </c>
      <c r="W2" t="e">
        <f>AND(fitumæling!N13,"AAAAAE6/1hY=")</f>
        <v>#VALUE!</v>
      </c>
      <c r="X2" t="e">
        <f>AND(fitumæling!O13,"AAAAAE6/1hc=")</f>
        <v>#VALUE!</v>
      </c>
      <c r="Y2" t="e">
        <f>AND(fitumæling!P13,"AAAAAE6/1hg=")</f>
        <v>#VALUE!</v>
      </c>
      <c r="Z2" t="e">
        <f>AND(fitumæling!Q13,"AAAAAE6/1hk=")</f>
        <v>#VALUE!</v>
      </c>
      <c r="AA2" t="e">
        <f>AND(fitumæling!R13,"AAAAAE6/1ho=")</f>
        <v>#VALUE!</v>
      </c>
      <c r="AB2" t="e">
        <f>AND(fitumæling!S13,"AAAAAE6/1hs=")</f>
        <v>#VALUE!</v>
      </c>
      <c r="AC2" t="e">
        <f>AND(fitumæling!T13,"AAAAAE6/1hw=")</f>
        <v>#VALUE!</v>
      </c>
      <c r="AD2" t="e">
        <f>AND(fitumæling!U13,"AAAAAE6/1h0=")</f>
        <v>#VALUE!</v>
      </c>
      <c r="AE2">
        <f>IF(fitumæling!14:14,"AAAAAE6/1h4=",0)</f>
        <v>0</v>
      </c>
      <c r="AF2" t="e">
        <f>AND(fitumæling!A14,"AAAAAE6/1h8=")</f>
        <v>#VALUE!</v>
      </c>
      <c r="AG2" t="e">
        <f>AND(fitumæling!B14,"AAAAAE6/1iA=")</f>
        <v>#VALUE!</v>
      </c>
      <c r="AH2" t="e">
        <f>AND(fitumæling!C14,"AAAAAE6/1iE=")</f>
        <v>#VALUE!</v>
      </c>
      <c r="AI2" t="e">
        <f>AND(fitumæling!D14,"AAAAAE6/1iI=")</f>
        <v>#VALUE!</v>
      </c>
      <c r="AJ2" t="e">
        <f>AND(fitumæling!E14,"AAAAAE6/1iM=")</f>
        <v>#VALUE!</v>
      </c>
      <c r="AK2" t="e">
        <f>AND(fitumæling!F14,"AAAAAE6/1iQ=")</f>
        <v>#VALUE!</v>
      </c>
      <c r="AL2" t="e">
        <f>AND(fitumæling!G14,"AAAAAE6/1iU=")</f>
        <v>#VALUE!</v>
      </c>
      <c r="AM2" t="e">
        <f>AND(fitumæling!H14,"AAAAAE6/1iY=")</f>
        <v>#VALUE!</v>
      </c>
      <c r="AN2" t="e">
        <f>AND(fitumæling!I14,"AAAAAE6/1ic=")</f>
        <v>#VALUE!</v>
      </c>
      <c r="AO2" t="e">
        <f>AND(fitumæling!J14,"AAAAAE6/1ig=")</f>
        <v>#VALUE!</v>
      </c>
      <c r="AP2" t="e">
        <f>AND(fitumæling!K14,"AAAAAE6/1ik=")</f>
        <v>#VALUE!</v>
      </c>
      <c r="AQ2" t="e">
        <f>AND(fitumæling!L14,"AAAAAE6/1io=")</f>
        <v>#VALUE!</v>
      </c>
      <c r="AR2" t="e">
        <f>AND(fitumæling!M14,"AAAAAE6/1is=")</f>
        <v>#VALUE!</v>
      </c>
      <c r="AS2" t="e">
        <f>AND(fitumæling!N14,"AAAAAE6/1iw=")</f>
        <v>#VALUE!</v>
      </c>
      <c r="AT2" t="e">
        <f>AND(fitumæling!O14,"AAAAAE6/1i0=")</f>
        <v>#VALUE!</v>
      </c>
      <c r="AU2" t="e">
        <f>AND(fitumæling!P14,"AAAAAE6/1i4=")</f>
        <v>#VALUE!</v>
      </c>
      <c r="AV2" t="e">
        <f>AND(fitumæling!Q14,"AAAAAE6/1i8=")</f>
        <v>#VALUE!</v>
      </c>
      <c r="AW2" t="e">
        <f>AND(fitumæling!R14,"AAAAAE6/1jA=")</f>
        <v>#VALUE!</v>
      </c>
      <c r="AX2" t="e">
        <f>AND(fitumæling!S14,"AAAAAE6/1jE=")</f>
        <v>#VALUE!</v>
      </c>
      <c r="AY2" t="e">
        <f>AND(fitumæling!T14,"AAAAAE6/1jI=")</f>
        <v>#VALUE!</v>
      </c>
      <c r="AZ2" t="e">
        <f>AND(fitumæling!U14,"AAAAAE6/1jM=")</f>
        <v>#VALUE!</v>
      </c>
      <c r="BA2">
        <f>IF(fitumæling!15:15,"AAAAAE6/1jQ=",0)</f>
        <v>0</v>
      </c>
      <c r="BB2" t="e">
        <f>AND(fitumæling!A15,"AAAAAE6/1jU=")</f>
        <v>#VALUE!</v>
      </c>
      <c r="BC2" t="e">
        <f>AND(fitumæling!B15,"AAAAAE6/1jY=")</f>
        <v>#VALUE!</v>
      </c>
      <c r="BD2" t="e">
        <f>AND(fitumæling!C15,"AAAAAE6/1jc=")</f>
        <v>#VALUE!</v>
      </c>
      <c r="BE2" t="e">
        <f>AND(fitumæling!D15,"AAAAAE6/1jg=")</f>
        <v>#VALUE!</v>
      </c>
      <c r="BF2" t="e">
        <f>AND(fitumæling!E15,"AAAAAE6/1jk=")</f>
        <v>#VALUE!</v>
      </c>
      <c r="BG2" t="e">
        <f>AND(fitumæling!F15,"AAAAAE6/1jo=")</f>
        <v>#VALUE!</v>
      </c>
      <c r="BH2" t="e">
        <f>AND(fitumæling!G15,"AAAAAE6/1js=")</f>
        <v>#VALUE!</v>
      </c>
      <c r="BI2" t="e">
        <f>AND(fitumæling!H15,"AAAAAE6/1jw=")</f>
        <v>#VALUE!</v>
      </c>
      <c r="BJ2" t="e">
        <f>AND(fitumæling!I15,"AAAAAE6/1j0=")</f>
        <v>#VALUE!</v>
      </c>
      <c r="BK2" t="e">
        <f>AND(fitumæling!J15,"AAAAAE6/1j4=")</f>
        <v>#VALUE!</v>
      </c>
      <c r="BL2" t="e">
        <f>AND(fitumæling!K15,"AAAAAE6/1j8=")</f>
        <v>#VALUE!</v>
      </c>
      <c r="BM2" t="e">
        <f>AND(fitumæling!L15,"AAAAAE6/1kA=")</f>
        <v>#VALUE!</v>
      </c>
      <c r="BN2" t="e">
        <f>AND(fitumæling!M15,"AAAAAE6/1kE=")</f>
        <v>#VALUE!</v>
      </c>
      <c r="BO2" t="e">
        <f>AND(fitumæling!N15,"AAAAAE6/1kI=")</f>
        <v>#VALUE!</v>
      </c>
      <c r="BP2" t="e">
        <f>AND(fitumæling!O15,"AAAAAE6/1kM=")</f>
        <v>#VALUE!</v>
      </c>
      <c r="BQ2" t="e">
        <f>AND(fitumæling!P15,"AAAAAE6/1kQ=")</f>
        <v>#VALUE!</v>
      </c>
      <c r="BR2" t="e">
        <f>AND(fitumæling!Q15,"AAAAAE6/1kU=")</f>
        <v>#VALUE!</v>
      </c>
      <c r="BS2" t="e">
        <f>AND(fitumæling!R15,"AAAAAE6/1kY=")</f>
        <v>#VALUE!</v>
      </c>
      <c r="BT2" t="e">
        <f>AND(fitumæling!S15,"AAAAAE6/1kc=")</f>
        <v>#VALUE!</v>
      </c>
      <c r="BU2" t="e">
        <f>AND(fitumæling!T15,"AAAAAE6/1kg=")</f>
        <v>#VALUE!</v>
      </c>
      <c r="BV2" t="e">
        <f>AND(fitumæling!U15,"AAAAAE6/1kk=")</f>
        <v>#VALUE!</v>
      </c>
      <c r="BW2">
        <f>IF(fitumæling!16:16,"AAAAAE6/1ko=",0)</f>
        <v>0</v>
      </c>
      <c r="BX2" t="e">
        <f>AND(fitumæling!A16,"AAAAAE6/1ks=")</f>
        <v>#VALUE!</v>
      </c>
      <c r="BY2" t="e">
        <f>AND(fitumæling!B16,"AAAAAE6/1kw=")</f>
        <v>#VALUE!</v>
      </c>
      <c r="BZ2" t="e">
        <f>AND(fitumæling!C16,"AAAAAE6/1k0=")</f>
        <v>#VALUE!</v>
      </c>
      <c r="CA2" t="e">
        <f>AND(fitumæling!D16,"AAAAAE6/1k4=")</f>
        <v>#VALUE!</v>
      </c>
      <c r="CB2" t="e">
        <f>AND(fitumæling!E16,"AAAAAE6/1k8=")</f>
        <v>#VALUE!</v>
      </c>
      <c r="CC2" t="e">
        <f>AND(fitumæling!F16,"AAAAAE6/1lA=")</f>
        <v>#VALUE!</v>
      </c>
      <c r="CD2" t="e">
        <f>AND(fitumæling!G16,"AAAAAE6/1lE=")</f>
        <v>#VALUE!</v>
      </c>
      <c r="CE2" t="e">
        <f>AND(fitumæling!H16,"AAAAAE6/1lI=")</f>
        <v>#VALUE!</v>
      </c>
      <c r="CF2" t="e">
        <f>AND(fitumæling!I16,"AAAAAE6/1lM=")</f>
        <v>#VALUE!</v>
      </c>
      <c r="CG2" t="e">
        <f>AND(fitumæling!J16,"AAAAAE6/1lQ=")</f>
        <v>#VALUE!</v>
      </c>
      <c r="CH2" t="e">
        <f>AND(fitumæling!K16,"AAAAAE6/1lU=")</f>
        <v>#VALUE!</v>
      </c>
      <c r="CI2" t="e">
        <f>AND(fitumæling!L16,"AAAAAE6/1lY=")</f>
        <v>#VALUE!</v>
      </c>
      <c r="CJ2" t="e">
        <f>AND(fitumæling!M16,"AAAAAE6/1lc=")</f>
        <v>#VALUE!</v>
      </c>
      <c r="CK2" t="e">
        <f>AND(fitumæling!N16,"AAAAAE6/1lg=")</f>
        <v>#VALUE!</v>
      </c>
      <c r="CL2" t="e">
        <f>AND(fitumæling!O16,"AAAAAE6/1lk=")</f>
        <v>#VALUE!</v>
      </c>
      <c r="CM2" t="e">
        <f>AND(fitumæling!P16,"AAAAAE6/1lo=")</f>
        <v>#VALUE!</v>
      </c>
      <c r="CN2" t="e">
        <f>AND(fitumæling!Q16,"AAAAAE6/1ls=")</f>
        <v>#VALUE!</v>
      </c>
      <c r="CO2" t="e">
        <f>AND(fitumæling!R16,"AAAAAE6/1lw=")</f>
        <v>#VALUE!</v>
      </c>
      <c r="CP2" t="e">
        <f>AND(fitumæling!S16,"AAAAAE6/1l0=")</f>
        <v>#VALUE!</v>
      </c>
      <c r="CQ2" t="e">
        <f>AND(fitumæling!T16,"AAAAAE6/1l4=")</f>
        <v>#VALUE!</v>
      </c>
      <c r="CR2" t="e">
        <f>AND(fitumæling!U16,"AAAAAE6/1l8=")</f>
        <v>#VALUE!</v>
      </c>
      <c r="CS2">
        <f>IF(fitumæling!17:17,"AAAAAE6/1mA=",0)</f>
        <v>0</v>
      </c>
      <c r="CT2" t="e">
        <f>AND(fitumæling!A17,"AAAAAE6/1mE=")</f>
        <v>#VALUE!</v>
      </c>
      <c r="CU2" t="e">
        <f>AND(fitumæling!B17,"AAAAAE6/1mI=")</f>
        <v>#VALUE!</v>
      </c>
      <c r="CV2" t="e">
        <f>AND(fitumæling!C17,"AAAAAE6/1mM=")</f>
        <v>#VALUE!</v>
      </c>
      <c r="CW2" t="e">
        <f>AND(fitumæling!D17,"AAAAAE6/1mQ=")</f>
        <v>#VALUE!</v>
      </c>
      <c r="CX2" t="e">
        <f>AND(fitumæling!E17,"AAAAAE6/1mU=")</f>
        <v>#VALUE!</v>
      </c>
      <c r="CY2" t="e">
        <f>AND(fitumæling!F17,"AAAAAE6/1mY=")</f>
        <v>#VALUE!</v>
      </c>
      <c r="CZ2" t="e">
        <f>AND(fitumæling!G17,"AAAAAE6/1mc=")</f>
        <v>#VALUE!</v>
      </c>
      <c r="DA2" t="e">
        <f>AND(fitumæling!H17,"AAAAAE6/1mg=")</f>
        <v>#VALUE!</v>
      </c>
      <c r="DB2" t="e">
        <f>AND(fitumæling!I17,"AAAAAE6/1mk=")</f>
        <v>#VALUE!</v>
      </c>
      <c r="DC2" t="e">
        <f>AND(fitumæling!J17,"AAAAAE6/1mo=")</f>
        <v>#VALUE!</v>
      </c>
      <c r="DD2" t="e">
        <f>AND(fitumæling!K17,"AAAAAE6/1ms=")</f>
        <v>#VALUE!</v>
      </c>
      <c r="DE2" t="e">
        <f>AND(fitumæling!L17,"AAAAAE6/1mw=")</f>
        <v>#VALUE!</v>
      </c>
      <c r="DF2" t="e">
        <f>AND(fitumæling!M17,"AAAAAE6/1m0=")</f>
        <v>#VALUE!</v>
      </c>
      <c r="DG2" t="e">
        <f>AND(fitumæling!N17,"AAAAAE6/1m4=")</f>
        <v>#VALUE!</v>
      </c>
      <c r="DH2" t="e">
        <f>AND(fitumæling!O17,"AAAAAE6/1m8=")</f>
        <v>#VALUE!</v>
      </c>
      <c r="DI2" t="e">
        <f>AND(fitumæling!P17,"AAAAAE6/1nA=")</f>
        <v>#VALUE!</v>
      </c>
      <c r="DJ2" t="e">
        <f>AND(fitumæling!Q17,"AAAAAE6/1nE=")</f>
        <v>#VALUE!</v>
      </c>
      <c r="DK2" t="e">
        <f>AND(fitumæling!R17,"AAAAAE6/1nI=")</f>
        <v>#VALUE!</v>
      </c>
      <c r="DL2" t="e">
        <f>AND(fitumæling!S17,"AAAAAE6/1nM=")</f>
        <v>#VALUE!</v>
      </c>
      <c r="DM2" t="e">
        <f>AND(fitumæling!T17,"AAAAAE6/1nQ=")</f>
        <v>#VALUE!</v>
      </c>
      <c r="DN2" t="e">
        <f>AND(fitumæling!U17,"AAAAAE6/1nU=")</f>
        <v>#VALUE!</v>
      </c>
      <c r="DO2">
        <f>IF(fitumæling!18:18,"AAAAAE6/1nY=",0)</f>
        <v>0</v>
      </c>
      <c r="DP2" t="e">
        <f>AND(fitumæling!A18,"AAAAAE6/1nc=")</f>
        <v>#VALUE!</v>
      </c>
      <c r="DQ2" t="e">
        <f>AND(fitumæling!B18,"AAAAAE6/1ng=")</f>
        <v>#VALUE!</v>
      </c>
      <c r="DR2" t="e">
        <f>AND(fitumæling!C18,"AAAAAE6/1nk=")</f>
        <v>#VALUE!</v>
      </c>
      <c r="DS2" t="e">
        <f>AND(fitumæling!D18,"AAAAAE6/1no=")</f>
        <v>#VALUE!</v>
      </c>
      <c r="DT2" t="e">
        <f>AND(fitumæling!E18,"AAAAAE6/1ns=")</f>
        <v>#VALUE!</v>
      </c>
      <c r="DU2" t="e">
        <f>AND(fitumæling!F18,"AAAAAE6/1nw=")</f>
        <v>#VALUE!</v>
      </c>
      <c r="DV2" t="e">
        <f>AND(fitumæling!G18,"AAAAAE6/1n0=")</f>
        <v>#VALUE!</v>
      </c>
      <c r="DW2" t="e">
        <f>AND(fitumæling!H18,"AAAAAE6/1n4=")</f>
        <v>#VALUE!</v>
      </c>
      <c r="DX2" t="e">
        <f>AND(fitumæling!I18,"AAAAAE6/1n8=")</f>
        <v>#VALUE!</v>
      </c>
      <c r="DY2" t="e">
        <f>AND(fitumæling!J18,"AAAAAE6/1oA=")</f>
        <v>#VALUE!</v>
      </c>
      <c r="DZ2" t="e">
        <f>AND(fitumæling!K18,"AAAAAE6/1oE=")</f>
        <v>#VALUE!</v>
      </c>
      <c r="EA2" t="e">
        <f>AND(fitumæling!L18,"AAAAAE6/1oI=")</f>
        <v>#VALUE!</v>
      </c>
      <c r="EB2" t="e">
        <f>AND(fitumæling!M18,"AAAAAE6/1oM=")</f>
        <v>#VALUE!</v>
      </c>
      <c r="EC2" t="e">
        <f>AND(fitumæling!N18,"AAAAAE6/1oQ=")</f>
        <v>#VALUE!</v>
      </c>
      <c r="ED2" t="e">
        <f>AND(fitumæling!O18,"AAAAAE6/1oU=")</f>
        <v>#VALUE!</v>
      </c>
      <c r="EE2" t="e">
        <f>AND(fitumæling!P18,"AAAAAE6/1oY=")</f>
        <v>#VALUE!</v>
      </c>
      <c r="EF2" t="e">
        <f>AND(fitumæling!Q18,"AAAAAE6/1oc=")</f>
        <v>#VALUE!</v>
      </c>
      <c r="EG2" t="e">
        <f>AND(fitumæling!R18,"AAAAAE6/1og=")</f>
        <v>#VALUE!</v>
      </c>
      <c r="EH2" t="e">
        <f>AND(fitumæling!S18,"AAAAAE6/1ok=")</f>
        <v>#VALUE!</v>
      </c>
      <c r="EI2" t="e">
        <f>AND(fitumæling!T18,"AAAAAE6/1oo=")</f>
        <v>#VALUE!</v>
      </c>
      <c r="EJ2" t="e">
        <f>AND(fitumæling!U18,"AAAAAE6/1os=")</f>
        <v>#VALUE!</v>
      </c>
      <c r="EK2">
        <f>IF(fitumæling!19:19,"AAAAAE6/1ow=",0)</f>
        <v>0</v>
      </c>
      <c r="EL2" t="e">
        <f>AND(fitumæling!A19,"AAAAAE6/1o0=")</f>
        <v>#VALUE!</v>
      </c>
      <c r="EM2" t="e">
        <f>AND(fitumæling!B19,"AAAAAE6/1o4=")</f>
        <v>#VALUE!</v>
      </c>
      <c r="EN2" t="e">
        <f>AND(fitumæling!C19,"AAAAAE6/1o8=")</f>
        <v>#VALUE!</v>
      </c>
      <c r="EO2" t="e">
        <f>AND(fitumæling!D19,"AAAAAE6/1pA=")</f>
        <v>#VALUE!</v>
      </c>
      <c r="EP2" t="e">
        <f>AND(fitumæling!E19,"AAAAAE6/1pE=")</f>
        <v>#VALUE!</v>
      </c>
      <c r="EQ2" t="e">
        <f>AND(fitumæling!F19,"AAAAAE6/1pI=")</f>
        <v>#VALUE!</v>
      </c>
      <c r="ER2" t="e">
        <f>AND(fitumæling!G19,"AAAAAE6/1pM=")</f>
        <v>#VALUE!</v>
      </c>
      <c r="ES2" t="e">
        <f>AND(fitumæling!H19,"AAAAAE6/1pQ=")</f>
        <v>#VALUE!</v>
      </c>
      <c r="ET2" t="e">
        <f>AND(fitumæling!I19,"AAAAAE6/1pU=")</f>
        <v>#VALUE!</v>
      </c>
      <c r="EU2" t="e">
        <f>AND(fitumæling!J19,"AAAAAE6/1pY=")</f>
        <v>#VALUE!</v>
      </c>
      <c r="EV2" t="e">
        <f>AND(fitumæling!K19,"AAAAAE6/1pc=")</f>
        <v>#VALUE!</v>
      </c>
      <c r="EW2" t="e">
        <f>AND(fitumæling!L19,"AAAAAE6/1pg=")</f>
        <v>#VALUE!</v>
      </c>
      <c r="EX2" t="e">
        <f>AND(fitumæling!M19,"AAAAAE6/1pk=")</f>
        <v>#VALUE!</v>
      </c>
      <c r="EY2" t="e">
        <f>AND(fitumæling!N19,"AAAAAE6/1po=")</f>
        <v>#VALUE!</v>
      </c>
      <c r="EZ2" t="e">
        <f>AND(fitumæling!O19,"AAAAAE6/1ps=")</f>
        <v>#VALUE!</v>
      </c>
      <c r="FA2" t="e">
        <f>AND(fitumæling!P19,"AAAAAE6/1pw=")</f>
        <v>#VALUE!</v>
      </c>
      <c r="FB2" t="e">
        <f>AND(fitumæling!Q19,"AAAAAE6/1p0=")</f>
        <v>#VALUE!</v>
      </c>
      <c r="FC2" t="e">
        <f>AND(fitumæling!R19,"AAAAAE6/1p4=")</f>
        <v>#VALUE!</v>
      </c>
      <c r="FD2" t="e">
        <f>AND(fitumæling!S19,"AAAAAE6/1p8=")</f>
        <v>#VALUE!</v>
      </c>
      <c r="FE2" t="e">
        <f>AND(fitumæling!T19,"AAAAAE6/1qA=")</f>
        <v>#VALUE!</v>
      </c>
      <c r="FF2" t="e">
        <f>AND(fitumæling!U19,"AAAAAE6/1qE=")</f>
        <v>#VALUE!</v>
      </c>
      <c r="FG2">
        <f>IF(fitumæling!20:20,"AAAAAE6/1qI=",0)</f>
        <v>0</v>
      </c>
      <c r="FH2" t="e">
        <f>AND(fitumæling!A20,"AAAAAE6/1qM=")</f>
        <v>#VALUE!</v>
      </c>
      <c r="FI2" t="e">
        <f>AND(fitumæling!B20,"AAAAAE6/1qQ=")</f>
        <v>#VALUE!</v>
      </c>
      <c r="FJ2" t="e">
        <f>AND(fitumæling!C20,"AAAAAE6/1qU=")</f>
        <v>#VALUE!</v>
      </c>
      <c r="FK2" t="e">
        <f>AND(fitumæling!D20,"AAAAAE6/1qY=")</f>
        <v>#VALUE!</v>
      </c>
      <c r="FL2" t="e">
        <f>AND(fitumæling!E20,"AAAAAE6/1qc=")</f>
        <v>#VALUE!</v>
      </c>
      <c r="FM2" t="e">
        <f>AND(fitumæling!F20,"AAAAAE6/1qg=")</f>
        <v>#VALUE!</v>
      </c>
      <c r="FN2" t="e">
        <f>AND(fitumæling!G20,"AAAAAE6/1qk=")</f>
        <v>#VALUE!</v>
      </c>
      <c r="FO2" t="e">
        <f>AND(fitumæling!H20,"AAAAAE6/1qo=")</f>
        <v>#VALUE!</v>
      </c>
      <c r="FP2" t="e">
        <f>AND(fitumæling!I20,"AAAAAE6/1qs=")</f>
        <v>#VALUE!</v>
      </c>
      <c r="FQ2" t="e">
        <f>AND(fitumæling!J20,"AAAAAE6/1qw=")</f>
        <v>#VALUE!</v>
      </c>
      <c r="FR2" t="e">
        <f>AND(fitumæling!K20,"AAAAAE6/1q0=")</f>
        <v>#VALUE!</v>
      </c>
      <c r="FS2" t="e">
        <f>AND(fitumæling!L20,"AAAAAE6/1q4=")</f>
        <v>#VALUE!</v>
      </c>
      <c r="FT2" t="e">
        <f>AND(fitumæling!M20,"AAAAAE6/1q8=")</f>
        <v>#VALUE!</v>
      </c>
      <c r="FU2" t="e">
        <f>AND(fitumæling!N20,"AAAAAE6/1rA=")</f>
        <v>#VALUE!</v>
      </c>
      <c r="FV2" t="e">
        <f>AND(fitumæling!O20,"AAAAAE6/1rE=")</f>
        <v>#VALUE!</v>
      </c>
      <c r="FW2" t="e">
        <f>AND(fitumæling!P20,"AAAAAE6/1rI=")</f>
        <v>#VALUE!</v>
      </c>
      <c r="FX2" t="e">
        <f>AND(fitumæling!Q20,"AAAAAE6/1rM=")</f>
        <v>#VALUE!</v>
      </c>
      <c r="FY2" t="e">
        <f>AND(fitumæling!R20,"AAAAAE6/1rQ=")</f>
        <v>#VALUE!</v>
      </c>
      <c r="FZ2" t="e">
        <f>AND(fitumæling!S20,"AAAAAE6/1rU=")</f>
        <v>#VALUE!</v>
      </c>
      <c r="GA2" t="e">
        <f>AND(fitumæling!T20,"AAAAAE6/1rY=")</f>
        <v>#VALUE!</v>
      </c>
      <c r="GB2" t="e">
        <f>AND(fitumæling!U20,"AAAAAE6/1rc=")</f>
        <v>#VALUE!</v>
      </c>
      <c r="GC2">
        <f>IF(fitumæling!21:21,"AAAAAE6/1rg=",0)</f>
        <v>0</v>
      </c>
      <c r="GD2" t="e">
        <f>AND(fitumæling!A21,"AAAAAE6/1rk=")</f>
        <v>#VALUE!</v>
      </c>
      <c r="GE2" t="e">
        <f>AND(fitumæling!B21,"AAAAAE6/1ro=")</f>
        <v>#VALUE!</v>
      </c>
      <c r="GF2" t="e">
        <f>AND(fitumæling!C21,"AAAAAE6/1rs=")</f>
        <v>#VALUE!</v>
      </c>
      <c r="GG2" t="e">
        <f>AND(fitumæling!D21,"AAAAAE6/1rw=")</f>
        <v>#VALUE!</v>
      </c>
      <c r="GH2" t="e">
        <f>AND(fitumæling!E21,"AAAAAE6/1r0=")</f>
        <v>#VALUE!</v>
      </c>
      <c r="GI2" t="e">
        <f>AND(fitumæling!F21,"AAAAAE6/1r4=")</f>
        <v>#VALUE!</v>
      </c>
      <c r="GJ2" t="e">
        <f>AND(fitumæling!G21,"AAAAAE6/1r8=")</f>
        <v>#VALUE!</v>
      </c>
      <c r="GK2" t="e">
        <f>AND(fitumæling!H21,"AAAAAE6/1sA=")</f>
        <v>#VALUE!</v>
      </c>
      <c r="GL2" t="e">
        <f>AND(fitumæling!I21,"AAAAAE6/1sE=")</f>
        <v>#VALUE!</v>
      </c>
      <c r="GM2" t="e">
        <f>AND(fitumæling!J21,"AAAAAE6/1sI=")</f>
        <v>#VALUE!</v>
      </c>
      <c r="GN2" t="e">
        <f>AND(fitumæling!K21,"AAAAAE6/1sM=")</f>
        <v>#VALUE!</v>
      </c>
      <c r="GO2" t="e">
        <f>AND(fitumæling!L21,"AAAAAE6/1sQ=")</f>
        <v>#VALUE!</v>
      </c>
      <c r="GP2" t="e">
        <f>AND(fitumæling!M21,"AAAAAE6/1sU=")</f>
        <v>#VALUE!</v>
      </c>
      <c r="GQ2" t="e">
        <f>AND(fitumæling!N21,"AAAAAE6/1sY=")</f>
        <v>#VALUE!</v>
      </c>
      <c r="GR2" t="e">
        <f>AND(fitumæling!O21,"AAAAAE6/1sc=")</f>
        <v>#VALUE!</v>
      </c>
      <c r="GS2" t="e">
        <f>AND(fitumæling!P21,"AAAAAE6/1sg=")</f>
        <v>#VALUE!</v>
      </c>
      <c r="GT2" t="e">
        <f>AND(fitumæling!Q21,"AAAAAE6/1sk=")</f>
        <v>#VALUE!</v>
      </c>
      <c r="GU2" t="e">
        <f>AND(fitumæling!R21,"AAAAAE6/1so=")</f>
        <v>#VALUE!</v>
      </c>
      <c r="GV2" t="e">
        <f>AND(fitumæling!S21,"AAAAAE6/1ss=")</f>
        <v>#VALUE!</v>
      </c>
      <c r="GW2" t="e">
        <f>AND(fitumæling!T21,"AAAAAE6/1sw=")</f>
        <v>#VALUE!</v>
      </c>
      <c r="GX2" t="e">
        <f>AND(fitumæling!U21,"AAAAAE6/1s0=")</f>
        <v>#VALUE!</v>
      </c>
      <c r="GY2">
        <f>IF(fitumæling!22:22,"AAAAAE6/1s4=",0)</f>
        <v>0</v>
      </c>
      <c r="GZ2" t="e">
        <f>AND(fitumæling!A22,"AAAAAE6/1s8=")</f>
        <v>#VALUE!</v>
      </c>
      <c r="HA2" t="e">
        <f>AND(fitumæling!B22,"AAAAAE6/1tA=")</f>
        <v>#VALUE!</v>
      </c>
      <c r="HB2" t="e">
        <f>AND(fitumæling!C22,"AAAAAE6/1tE=")</f>
        <v>#VALUE!</v>
      </c>
      <c r="HC2" t="e">
        <f>AND(fitumæling!D22,"AAAAAE6/1tI=")</f>
        <v>#VALUE!</v>
      </c>
      <c r="HD2" t="e">
        <f>AND(fitumæling!E22,"AAAAAE6/1tM=")</f>
        <v>#VALUE!</v>
      </c>
      <c r="HE2" t="e">
        <f>AND(fitumæling!F22,"AAAAAE6/1tQ=")</f>
        <v>#VALUE!</v>
      </c>
      <c r="HF2" t="e">
        <f>AND(fitumæling!G22,"AAAAAE6/1tU=")</f>
        <v>#VALUE!</v>
      </c>
      <c r="HG2" t="e">
        <f>AND(fitumæling!H22,"AAAAAE6/1tY=")</f>
        <v>#VALUE!</v>
      </c>
      <c r="HH2" t="e">
        <f>AND(fitumæling!I22,"AAAAAE6/1tc=")</f>
        <v>#VALUE!</v>
      </c>
      <c r="HI2" t="e">
        <f>AND(fitumæling!J22,"AAAAAE6/1tg=")</f>
        <v>#VALUE!</v>
      </c>
      <c r="HJ2" t="e">
        <f>AND(fitumæling!K22,"AAAAAE6/1tk=")</f>
        <v>#VALUE!</v>
      </c>
      <c r="HK2" t="e">
        <f>AND(fitumæling!L22,"AAAAAE6/1to=")</f>
        <v>#VALUE!</v>
      </c>
      <c r="HL2" t="e">
        <f>AND(fitumæling!M22,"AAAAAE6/1ts=")</f>
        <v>#VALUE!</v>
      </c>
      <c r="HM2" t="e">
        <f>AND(fitumæling!N22,"AAAAAE6/1tw=")</f>
        <v>#VALUE!</v>
      </c>
      <c r="HN2" t="e">
        <f>AND(fitumæling!O22,"AAAAAE6/1t0=")</f>
        <v>#VALUE!</v>
      </c>
      <c r="HO2" t="e">
        <f>AND(fitumæling!P22,"AAAAAE6/1t4=")</f>
        <v>#VALUE!</v>
      </c>
      <c r="HP2" t="e">
        <f>AND(fitumæling!Q22,"AAAAAE6/1t8=")</f>
        <v>#VALUE!</v>
      </c>
      <c r="HQ2" t="e">
        <f>AND(fitumæling!R22,"AAAAAE6/1uA=")</f>
        <v>#VALUE!</v>
      </c>
      <c r="HR2" t="e">
        <f>AND(fitumæling!S22,"AAAAAE6/1uE=")</f>
        <v>#VALUE!</v>
      </c>
      <c r="HS2" t="e">
        <f>AND(fitumæling!T22,"AAAAAE6/1uI=")</f>
        <v>#VALUE!</v>
      </c>
      <c r="HT2" t="e">
        <f>AND(fitumæling!U22,"AAAAAE6/1uM=")</f>
        <v>#VALUE!</v>
      </c>
      <c r="HU2">
        <f>IF(fitumæling!23:23,"AAAAAE6/1uQ=",0)</f>
        <v>0</v>
      </c>
      <c r="HV2" t="e">
        <f>AND(fitumæling!A23,"AAAAAE6/1uU=")</f>
        <v>#VALUE!</v>
      </c>
      <c r="HW2" t="e">
        <f>AND(fitumæling!B23,"AAAAAE6/1uY=")</f>
        <v>#VALUE!</v>
      </c>
      <c r="HX2" t="e">
        <f>AND(fitumæling!C23,"AAAAAE6/1uc=")</f>
        <v>#VALUE!</v>
      </c>
      <c r="HY2" t="e">
        <f>AND(fitumæling!D23,"AAAAAE6/1ug=")</f>
        <v>#VALUE!</v>
      </c>
      <c r="HZ2" t="e">
        <f>AND(fitumæling!E23,"AAAAAE6/1uk=")</f>
        <v>#VALUE!</v>
      </c>
      <c r="IA2" t="e">
        <f>AND(fitumæling!F23,"AAAAAE6/1uo=")</f>
        <v>#VALUE!</v>
      </c>
      <c r="IB2" t="e">
        <f>AND(fitumæling!G23,"AAAAAE6/1us=")</f>
        <v>#VALUE!</v>
      </c>
      <c r="IC2" t="e">
        <f>AND(fitumæling!H23,"AAAAAE6/1uw=")</f>
        <v>#VALUE!</v>
      </c>
      <c r="ID2" t="e">
        <f>AND(fitumæling!I23,"AAAAAE6/1u0=")</f>
        <v>#VALUE!</v>
      </c>
      <c r="IE2" t="e">
        <f>AND(fitumæling!J23,"AAAAAE6/1u4=")</f>
        <v>#VALUE!</v>
      </c>
      <c r="IF2" t="e">
        <f>AND(fitumæling!K23,"AAAAAE6/1u8=")</f>
        <v>#VALUE!</v>
      </c>
      <c r="IG2" t="e">
        <f>AND(fitumæling!L23,"AAAAAE6/1vA=")</f>
        <v>#VALUE!</v>
      </c>
      <c r="IH2" t="e">
        <f>AND(fitumæling!M23,"AAAAAE6/1vE=")</f>
        <v>#VALUE!</v>
      </c>
      <c r="II2" t="e">
        <f>AND(fitumæling!N23,"AAAAAE6/1vI=")</f>
        <v>#VALUE!</v>
      </c>
      <c r="IJ2" t="e">
        <f>AND(fitumæling!O23,"AAAAAE6/1vM=")</f>
        <v>#VALUE!</v>
      </c>
      <c r="IK2" t="e">
        <f>AND(fitumæling!P23,"AAAAAE6/1vQ=")</f>
        <v>#VALUE!</v>
      </c>
      <c r="IL2" t="e">
        <f>AND(fitumæling!Q23,"AAAAAE6/1vU=")</f>
        <v>#VALUE!</v>
      </c>
      <c r="IM2" t="e">
        <f>AND(fitumæling!R23,"AAAAAE6/1vY=")</f>
        <v>#VALUE!</v>
      </c>
      <c r="IN2" t="e">
        <f>AND(fitumæling!S23,"AAAAAE6/1vc=")</f>
        <v>#VALUE!</v>
      </c>
      <c r="IO2" t="e">
        <f>AND(fitumæling!T23,"AAAAAE6/1vg=")</f>
        <v>#VALUE!</v>
      </c>
      <c r="IP2" t="e">
        <f>AND(fitumæling!U23,"AAAAAE6/1vk=")</f>
        <v>#VALUE!</v>
      </c>
      <c r="IQ2">
        <f>IF(fitumæling!24:24,"AAAAAE6/1vo=",0)</f>
        <v>0</v>
      </c>
      <c r="IR2" t="e">
        <f>AND(fitumæling!A24,"AAAAAE6/1vs=")</f>
        <v>#VALUE!</v>
      </c>
      <c r="IS2" t="e">
        <f>AND(fitumæling!B24,"AAAAAE6/1vw=")</f>
        <v>#VALUE!</v>
      </c>
      <c r="IT2" t="e">
        <f>AND(fitumæling!C24,"AAAAAE6/1v0=")</f>
        <v>#VALUE!</v>
      </c>
      <c r="IU2" t="e">
        <f>AND(fitumæling!D24,"AAAAAE6/1v4=")</f>
        <v>#VALUE!</v>
      </c>
      <c r="IV2" t="e">
        <f>AND(fitumæling!E24,"AAAAAE6/1v8=")</f>
        <v>#VALUE!</v>
      </c>
    </row>
    <row r="3" spans="1:256" x14ac:dyDescent="0.25">
      <c r="A3" t="e">
        <f>AND(fitumæling!F24,"AAAAAHPutAA=")</f>
        <v>#VALUE!</v>
      </c>
      <c r="B3" t="e">
        <f>AND(fitumæling!G24,"AAAAAHPutAE=")</f>
        <v>#VALUE!</v>
      </c>
      <c r="C3" t="e">
        <f>AND(fitumæling!H24,"AAAAAHPutAI=")</f>
        <v>#VALUE!</v>
      </c>
      <c r="D3" t="e">
        <f>AND(fitumæling!I24,"AAAAAHPutAM=")</f>
        <v>#VALUE!</v>
      </c>
      <c r="E3" t="e">
        <f>AND(fitumæling!J24,"AAAAAHPutAQ=")</f>
        <v>#VALUE!</v>
      </c>
      <c r="F3" t="e">
        <f>AND(fitumæling!K24,"AAAAAHPutAU=")</f>
        <v>#VALUE!</v>
      </c>
      <c r="G3" t="e">
        <f>AND(fitumæling!L24,"AAAAAHPutAY=")</f>
        <v>#VALUE!</v>
      </c>
      <c r="H3" t="e">
        <f>AND(fitumæling!M24,"AAAAAHPutAc=")</f>
        <v>#VALUE!</v>
      </c>
      <c r="I3" t="e">
        <f>AND(fitumæling!N24,"AAAAAHPutAg=")</f>
        <v>#VALUE!</v>
      </c>
      <c r="J3" t="e">
        <f>AND(fitumæling!O24,"AAAAAHPutAk=")</f>
        <v>#VALUE!</v>
      </c>
      <c r="K3" t="e">
        <f>AND(fitumæling!P24,"AAAAAHPutAo=")</f>
        <v>#VALUE!</v>
      </c>
      <c r="L3" t="e">
        <f>AND(fitumæling!Q24,"AAAAAHPutAs=")</f>
        <v>#VALUE!</v>
      </c>
      <c r="M3" t="e">
        <f>AND(fitumæling!R24,"AAAAAHPutAw=")</f>
        <v>#VALUE!</v>
      </c>
      <c r="N3" t="e">
        <f>AND(fitumæling!S24,"AAAAAHPutA0=")</f>
        <v>#VALUE!</v>
      </c>
      <c r="O3" t="e">
        <f>AND(fitumæling!T24,"AAAAAHPutA4=")</f>
        <v>#VALUE!</v>
      </c>
      <c r="P3" t="e">
        <f>AND(fitumæling!U24,"AAAAAHPutA8=")</f>
        <v>#VALUE!</v>
      </c>
      <c r="Q3">
        <f>IF(fitumæling!25:25,"AAAAAHPutBA=",0)</f>
        <v>0</v>
      </c>
      <c r="R3" t="e">
        <f>AND(fitumæling!A25,"AAAAAHPutBE=")</f>
        <v>#VALUE!</v>
      </c>
      <c r="S3" t="e">
        <f>AND(fitumæling!B25,"AAAAAHPutBI=")</f>
        <v>#VALUE!</v>
      </c>
      <c r="T3" t="e">
        <f>AND(fitumæling!C25,"AAAAAHPutBM=")</f>
        <v>#VALUE!</v>
      </c>
      <c r="U3" t="e">
        <f>AND(fitumæling!D25,"AAAAAHPutBQ=")</f>
        <v>#VALUE!</v>
      </c>
      <c r="V3" t="e">
        <f>AND(fitumæling!E25,"AAAAAHPutBU=")</f>
        <v>#VALUE!</v>
      </c>
      <c r="W3" t="e">
        <f>AND(fitumæling!F25,"AAAAAHPutBY=")</f>
        <v>#VALUE!</v>
      </c>
      <c r="X3" t="e">
        <f>AND(fitumæling!G25,"AAAAAHPutBc=")</f>
        <v>#VALUE!</v>
      </c>
      <c r="Y3" t="e">
        <f>AND(fitumæling!H25,"AAAAAHPutBg=")</f>
        <v>#VALUE!</v>
      </c>
      <c r="Z3" t="e">
        <f>AND(fitumæling!I25,"AAAAAHPutBk=")</f>
        <v>#VALUE!</v>
      </c>
      <c r="AA3" t="e">
        <f>AND(fitumæling!J25,"AAAAAHPutBo=")</f>
        <v>#VALUE!</v>
      </c>
      <c r="AB3" t="e">
        <f>AND(fitumæling!K25,"AAAAAHPutBs=")</f>
        <v>#VALUE!</v>
      </c>
      <c r="AC3" t="e">
        <f>AND(fitumæling!L25,"AAAAAHPutBw=")</f>
        <v>#VALUE!</v>
      </c>
      <c r="AD3" t="e">
        <f>AND(fitumæling!M25,"AAAAAHPutB0=")</f>
        <v>#VALUE!</v>
      </c>
      <c r="AE3" t="e">
        <f>AND(fitumæling!N25,"AAAAAHPutB4=")</f>
        <v>#VALUE!</v>
      </c>
      <c r="AF3" t="e">
        <f>AND(fitumæling!O25,"AAAAAHPutB8=")</f>
        <v>#VALUE!</v>
      </c>
      <c r="AG3" t="e">
        <f>AND(fitumæling!P25,"AAAAAHPutCA=")</f>
        <v>#VALUE!</v>
      </c>
      <c r="AH3" t="e">
        <f>AND(fitumæling!Q25,"AAAAAHPutCE=")</f>
        <v>#VALUE!</v>
      </c>
      <c r="AI3" t="e">
        <f>AND(fitumæling!R25,"AAAAAHPutCI=")</f>
        <v>#VALUE!</v>
      </c>
      <c r="AJ3" t="e">
        <f>AND(fitumæling!S25,"AAAAAHPutCM=")</f>
        <v>#VALUE!</v>
      </c>
      <c r="AK3" t="e">
        <f>AND(fitumæling!T25,"AAAAAHPutCQ=")</f>
        <v>#VALUE!</v>
      </c>
      <c r="AL3" t="e">
        <f>AND(fitumæling!U25,"AAAAAHPutCU=")</f>
        <v>#VALUE!</v>
      </c>
      <c r="AM3">
        <f>IF(fitumæling!26:26,"AAAAAHPutCY=",0)</f>
        <v>0</v>
      </c>
      <c r="AN3" t="e">
        <f>AND(fitumæling!A26,"AAAAAHPutCc=")</f>
        <v>#VALUE!</v>
      </c>
      <c r="AO3" t="e">
        <f>AND(fitumæling!B26,"AAAAAHPutCg=")</f>
        <v>#VALUE!</v>
      </c>
      <c r="AP3" t="e">
        <f>AND(fitumæling!C26,"AAAAAHPutCk=")</f>
        <v>#VALUE!</v>
      </c>
      <c r="AQ3" t="e">
        <f>AND(fitumæling!D26,"AAAAAHPutCo=")</f>
        <v>#VALUE!</v>
      </c>
      <c r="AR3" t="e">
        <f>AND(fitumæling!E26,"AAAAAHPutCs=")</f>
        <v>#VALUE!</v>
      </c>
      <c r="AS3" t="e">
        <f>AND(fitumæling!F26,"AAAAAHPutCw=")</f>
        <v>#VALUE!</v>
      </c>
      <c r="AT3" t="e">
        <f>AND(fitumæling!G26,"AAAAAHPutC0=")</f>
        <v>#VALUE!</v>
      </c>
      <c r="AU3" t="e">
        <f>AND(fitumæling!H26,"AAAAAHPutC4=")</f>
        <v>#VALUE!</v>
      </c>
      <c r="AV3" t="e">
        <f>AND(fitumæling!I26,"AAAAAHPutC8=")</f>
        <v>#VALUE!</v>
      </c>
      <c r="AW3" t="e">
        <f>AND(fitumæling!J26,"AAAAAHPutDA=")</f>
        <v>#VALUE!</v>
      </c>
      <c r="AX3" t="e">
        <f>AND(fitumæling!K26,"AAAAAHPutDE=")</f>
        <v>#VALUE!</v>
      </c>
      <c r="AY3" t="e">
        <f>AND(fitumæling!L26,"AAAAAHPutDI=")</f>
        <v>#VALUE!</v>
      </c>
      <c r="AZ3" t="e">
        <f>AND(fitumæling!M26,"AAAAAHPutDM=")</f>
        <v>#VALUE!</v>
      </c>
      <c r="BA3" t="e">
        <f>AND(fitumæling!N26,"AAAAAHPutDQ=")</f>
        <v>#VALUE!</v>
      </c>
      <c r="BB3" t="e">
        <f>AND(fitumæling!O26,"AAAAAHPutDU=")</f>
        <v>#VALUE!</v>
      </c>
      <c r="BC3" t="e">
        <f>AND(fitumæling!P26,"AAAAAHPutDY=")</f>
        <v>#VALUE!</v>
      </c>
      <c r="BD3" t="e">
        <f>AND(fitumæling!Q26,"AAAAAHPutDc=")</f>
        <v>#VALUE!</v>
      </c>
      <c r="BE3" t="e">
        <f>AND(fitumæling!R26,"AAAAAHPutDg=")</f>
        <v>#VALUE!</v>
      </c>
      <c r="BF3" t="e">
        <f>AND(fitumæling!S26,"AAAAAHPutDk=")</f>
        <v>#VALUE!</v>
      </c>
      <c r="BG3" t="e">
        <f>AND(fitumæling!T26,"AAAAAHPutDo=")</f>
        <v>#VALUE!</v>
      </c>
      <c r="BH3" t="e">
        <f>AND(fitumæling!U26,"AAAAAHPutDs=")</f>
        <v>#VALUE!</v>
      </c>
      <c r="BI3">
        <f>IF(fitumæling!27:27,"AAAAAHPutDw=",0)</f>
        <v>0</v>
      </c>
      <c r="BJ3" t="e">
        <f>AND(fitumæling!A27,"AAAAAHPutD0=")</f>
        <v>#VALUE!</v>
      </c>
      <c r="BK3" t="e">
        <f>AND(fitumæling!B27,"AAAAAHPutD4=")</f>
        <v>#VALUE!</v>
      </c>
      <c r="BL3" t="e">
        <f>AND(fitumæling!C27,"AAAAAHPutD8=")</f>
        <v>#VALUE!</v>
      </c>
      <c r="BM3" t="e">
        <f>AND(fitumæling!D27,"AAAAAHPutEA=")</f>
        <v>#VALUE!</v>
      </c>
      <c r="BN3" t="e">
        <f>AND(fitumæling!E27,"AAAAAHPutEE=")</f>
        <v>#VALUE!</v>
      </c>
      <c r="BO3" t="e">
        <f>AND(fitumæling!F27,"AAAAAHPutEI=")</f>
        <v>#VALUE!</v>
      </c>
      <c r="BP3" t="e">
        <f>AND(fitumæling!G27,"AAAAAHPutEM=")</f>
        <v>#VALUE!</v>
      </c>
      <c r="BQ3" t="e">
        <f>AND(fitumæling!H27,"AAAAAHPutEQ=")</f>
        <v>#VALUE!</v>
      </c>
      <c r="BR3" t="e">
        <f>AND(fitumæling!I27,"AAAAAHPutEU=")</f>
        <v>#VALUE!</v>
      </c>
      <c r="BS3" t="e">
        <f>AND(fitumæling!J27,"AAAAAHPutEY=")</f>
        <v>#VALUE!</v>
      </c>
      <c r="BT3" t="e">
        <f>AND(fitumæling!K27,"AAAAAHPutEc=")</f>
        <v>#VALUE!</v>
      </c>
      <c r="BU3" t="e">
        <f>AND(fitumæling!L27,"AAAAAHPutEg=")</f>
        <v>#VALUE!</v>
      </c>
      <c r="BV3" t="e">
        <f>AND(fitumæling!M27,"AAAAAHPutEk=")</f>
        <v>#VALUE!</v>
      </c>
      <c r="BW3" t="e">
        <f>AND(fitumæling!N27,"AAAAAHPutEo=")</f>
        <v>#VALUE!</v>
      </c>
      <c r="BX3" t="e">
        <f>AND(fitumæling!O27,"AAAAAHPutEs=")</f>
        <v>#VALUE!</v>
      </c>
      <c r="BY3" t="e">
        <f>AND(fitumæling!P27,"AAAAAHPutEw=")</f>
        <v>#VALUE!</v>
      </c>
      <c r="BZ3" t="e">
        <f>AND(fitumæling!Q27,"AAAAAHPutE0=")</f>
        <v>#VALUE!</v>
      </c>
      <c r="CA3" t="e">
        <f>AND(fitumæling!R27,"AAAAAHPutE4=")</f>
        <v>#VALUE!</v>
      </c>
      <c r="CB3" t="e">
        <f>AND(fitumæling!S27,"AAAAAHPutE8=")</f>
        <v>#VALUE!</v>
      </c>
      <c r="CC3" t="e">
        <f>AND(fitumæling!T27,"AAAAAHPutFA=")</f>
        <v>#VALUE!</v>
      </c>
      <c r="CD3" t="e">
        <f>AND(fitumæling!U27,"AAAAAHPutFE=")</f>
        <v>#VALUE!</v>
      </c>
      <c r="CE3">
        <f>IF(fitumæling!28:28,"AAAAAHPutFI=",0)</f>
        <v>0</v>
      </c>
      <c r="CF3" t="e">
        <f>AND(fitumæling!A28,"AAAAAHPutFM=")</f>
        <v>#VALUE!</v>
      </c>
      <c r="CG3" t="e">
        <f>AND(fitumæling!B28,"AAAAAHPutFQ=")</f>
        <v>#VALUE!</v>
      </c>
      <c r="CH3" t="e">
        <f>AND(fitumæling!C28,"AAAAAHPutFU=")</f>
        <v>#VALUE!</v>
      </c>
      <c r="CI3" t="e">
        <f>AND(fitumæling!D28,"AAAAAHPutFY=")</f>
        <v>#VALUE!</v>
      </c>
      <c r="CJ3" t="e">
        <f>AND(fitumæling!E28,"AAAAAHPutFc=")</f>
        <v>#VALUE!</v>
      </c>
      <c r="CK3" t="e">
        <f>AND(fitumæling!F28,"AAAAAHPutFg=")</f>
        <v>#VALUE!</v>
      </c>
      <c r="CL3" t="e">
        <f>AND(fitumæling!G28,"AAAAAHPutFk=")</f>
        <v>#VALUE!</v>
      </c>
      <c r="CM3" t="e">
        <f>AND(fitumæling!H28,"AAAAAHPutFo=")</f>
        <v>#VALUE!</v>
      </c>
      <c r="CN3" t="e">
        <f>AND(fitumæling!I28,"AAAAAHPutFs=")</f>
        <v>#VALUE!</v>
      </c>
      <c r="CO3" t="e">
        <f>AND(fitumæling!J28,"AAAAAHPutFw=")</f>
        <v>#VALUE!</v>
      </c>
      <c r="CP3" t="e">
        <f>AND(fitumæling!K28,"AAAAAHPutF0=")</f>
        <v>#VALUE!</v>
      </c>
      <c r="CQ3" t="e">
        <f>AND(fitumæling!L28,"AAAAAHPutF4=")</f>
        <v>#VALUE!</v>
      </c>
      <c r="CR3" t="e">
        <f>AND(fitumæling!M28,"AAAAAHPutF8=")</f>
        <v>#VALUE!</v>
      </c>
      <c r="CS3" t="e">
        <f>AND(fitumæling!N28,"AAAAAHPutGA=")</f>
        <v>#VALUE!</v>
      </c>
      <c r="CT3" t="e">
        <f>AND(fitumæling!O28,"AAAAAHPutGE=")</f>
        <v>#VALUE!</v>
      </c>
      <c r="CU3" t="e">
        <f>AND(fitumæling!P28,"AAAAAHPutGI=")</f>
        <v>#VALUE!</v>
      </c>
      <c r="CV3" t="e">
        <f>AND(fitumæling!Q28,"AAAAAHPutGM=")</f>
        <v>#VALUE!</v>
      </c>
      <c r="CW3" t="e">
        <f>AND(fitumæling!R28,"AAAAAHPutGQ=")</f>
        <v>#VALUE!</v>
      </c>
      <c r="CX3" t="e">
        <f>AND(fitumæling!S28,"AAAAAHPutGU=")</f>
        <v>#VALUE!</v>
      </c>
      <c r="CY3" t="e">
        <f>AND(fitumæling!T28,"AAAAAHPutGY=")</f>
        <v>#VALUE!</v>
      </c>
      <c r="CZ3" t="e">
        <f>AND(fitumæling!U28,"AAAAAHPutGc=")</f>
        <v>#VALUE!</v>
      </c>
      <c r="DA3">
        <f>IF(fitumæling!29:29,"AAAAAHPutGg=",0)</f>
        <v>0</v>
      </c>
      <c r="DB3" t="e">
        <f>AND(fitumæling!A29,"AAAAAHPutGk=")</f>
        <v>#VALUE!</v>
      </c>
      <c r="DC3" t="e">
        <f>AND(fitumæling!B29,"AAAAAHPutGo=")</f>
        <v>#VALUE!</v>
      </c>
      <c r="DD3" t="e">
        <f>AND(fitumæling!C29,"AAAAAHPutGs=")</f>
        <v>#VALUE!</v>
      </c>
      <c r="DE3" t="e">
        <f>AND(fitumæling!D29,"AAAAAHPutGw=")</f>
        <v>#VALUE!</v>
      </c>
      <c r="DF3" t="e">
        <f>AND(fitumæling!E29,"AAAAAHPutG0=")</f>
        <v>#VALUE!</v>
      </c>
      <c r="DG3" t="e">
        <f>AND(fitumæling!F29,"AAAAAHPutG4=")</f>
        <v>#VALUE!</v>
      </c>
      <c r="DH3" t="e">
        <f>AND(fitumæling!G29,"AAAAAHPutG8=")</f>
        <v>#VALUE!</v>
      </c>
      <c r="DI3" t="e">
        <f>AND(fitumæling!H29,"AAAAAHPutHA=")</f>
        <v>#VALUE!</v>
      </c>
      <c r="DJ3" t="e">
        <f>AND(fitumæling!I29,"AAAAAHPutHE=")</f>
        <v>#VALUE!</v>
      </c>
      <c r="DK3" t="e">
        <f>AND(fitumæling!J29,"AAAAAHPutHI=")</f>
        <v>#VALUE!</v>
      </c>
      <c r="DL3" t="e">
        <f>AND(fitumæling!K29,"AAAAAHPutHM=")</f>
        <v>#VALUE!</v>
      </c>
      <c r="DM3" t="e">
        <f>AND(fitumæling!L29,"AAAAAHPutHQ=")</f>
        <v>#VALUE!</v>
      </c>
      <c r="DN3" t="e">
        <f>AND(fitumæling!M29,"AAAAAHPutHU=")</f>
        <v>#VALUE!</v>
      </c>
      <c r="DO3" t="e">
        <f>AND(fitumæling!N29,"AAAAAHPutHY=")</f>
        <v>#VALUE!</v>
      </c>
      <c r="DP3" t="e">
        <f>AND(fitumæling!O29,"AAAAAHPutHc=")</f>
        <v>#VALUE!</v>
      </c>
      <c r="DQ3" t="e">
        <f>AND(fitumæling!P29,"AAAAAHPutHg=")</f>
        <v>#VALUE!</v>
      </c>
      <c r="DR3" t="e">
        <f>AND(fitumæling!Q29,"AAAAAHPutHk=")</f>
        <v>#VALUE!</v>
      </c>
      <c r="DS3" t="e">
        <f>AND(fitumæling!R29,"AAAAAHPutHo=")</f>
        <v>#VALUE!</v>
      </c>
      <c r="DT3" t="e">
        <f>AND(fitumæling!S29,"AAAAAHPutHs=")</f>
        <v>#VALUE!</v>
      </c>
      <c r="DU3" t="e">
        <f>AND(fitumæling!T29,"AAAAAHPutHw=")</f>
        <v>#VALUE!</v>
      </c>
      <c r="DV3" t="e">
        <f>AND(fitumæling!U29,"AAAAAHPutH0=")</f>
        <v>#VALUE!</v>
      </c>
      <c r="DW3">
        <f>IF(fitumæling!30:30,"AAAAAHPutH4=",0)</f>
        <v>0</v>
      </c>
      <c r="DX3" t="e">
        <f>AND(fitumæling!A30,"AAAAAHPutH8=")</f>
        <v>#VALUE!</v>
      </c>
      <c r="DY3" t="e">
        <f>AND(fitumæling!B30,"AAAAAHPutIA=")</f>
        <v>#VALUE!</v>
      </c>
      <c r="DZ3" t="e">
        <f>AND(fitumæling!C30,"AAAAAHPutIE=")</f>
        <v>#VALUE!</v>
      </c>
      <c r="EA3" t="e">
        <f>AND(fitumæling!D30,"AAAAAHPutII=")</f>
        <v>#VALUE!</v>
      </c>
      <c r="EB3" t="e">
        <f>AND(fitumæling!E30,"AAAAAHPutIM=")</f>
        <v>#VALUE!</v>
      </c>
      <c r="EC3" t="e">
        <f>AND(fitumæling!F30,"AAAAAHPutIQ=")</f>
        <v>#VALUE!</v>
      </c>
      <c r="ED3" t="e">
        <f>AND(fitumæling!G30,"AAAAAHPutIU=")</f>
        <v>#VALUE!</v>
      </c>
      <c r="EE3" t="e">
        <f>AND(fitumæling!H30,"AAAAAHPutIY=")</f>
        <v>#VALUE!</v>
      </c>
      <c r="EF3" t="e">
        <f>AND(fitumæling!I30,"AAAAAHPutIc=")</f>
        <v>#VALUE!</v>
      </c>
      <c r="EG3" t="e">
        <f>AND(fitumæling!J30,"AAAAAHPutIg=")</f>
        <v>#VALUE!</v>
      </c>
      <c r="EH3" t="e">
        <f>AND(fitumæling!K30,"AAAAAHPutIk=")</f>
        <v>#VALUE!</v>
      </c>
      <c r="EI3" t="e">
        <f>AND(fitumæling!L30,"AAAAAHPutIo=")</f>
        <v>#VALUE!</v>
      </c>
      <c r="EJ3" t="e">
        <f>AND(fitumæling!M30,"AAAAAHPutIs=")</f>
        <v>#VALUE!</v>
      </c>
      <c r="EK3" t="e">
        <f>AND(fitumæling!N30,"AAAAAHPutIw=")</f>
        <v>#VALUE!</v>
      </c>
      <c r="EL3" t="e">
        <f>AND(fitumæling!O30,"AAAAAHPutI0=")</f>
        <v>#VALUE!</v>
      </c>
      <c r="EM3" t="e">
        <f>AND(fitumæling!P30,"AAAAAHPutI4=")</f>
        <v>#VALUE!</v>
      </c>
      <c r="EN3" t="e">
        <f>AND(fitumæling!Q30,"AAAAAHPutI8=")</f>
        <v>#VALUE!</v>
      </c>
      <c r="EO3" t="e">
        <f>AND(fitumæling!R30,"AAAAAHPutJA=")</f>
        <v>#VALUE!</v>
      </c>
      <c r="EP3" t="e">
        <f>AND(fitumæling!S30,"AAAAAHPutJE=")</f>
        <v>#VALUE!</v>
      </c>
      <c r="EQ3" t="e">
        <f>AND(fitumæling!T30,"AAAAAHPutJI=")</f>
        <v>#VALUE!</v>
      </c>
      <c r="ER3" t="e">
        <f>AND(fitumæling!U30,"AAAAAHPutJM=")</f>
        <v>#VALUE!</v>
      </c>
      <c r="ES3">
        <f>IF(fitumæling!31:31,"AAAAAHPutJQ=",0)</f>
        <v>0</v>
      </c>
      <c r="ET3" t="e">
        <f>AND(fitumæling!A31,"AAAAAHPutJU=")</f>
        <v>#VALUE!</v>
      </c>
      <c r="EU3" t="e">
        <f>AND(fitumæling!B31,"AAAAAHPutJY=")</f>
        <v>#VALUE!</v>
      </c>
      <c r="EV3" t="e">
        <f>AND(fitumæling!C31,"AAAAAHPutJc=")</f>
        <v>#VALUE!</v>
      </c>
      <c r="EW3" t="e">
        <f>AND(fitumæling!D31,"AAAAAHPutJg=")</f>
        <v>#VALUE!</v>
      </c>
      <c r="EX3" t="e">
        <f>AND(fitumæling!E31,"AAAAAHPutJk=")</f>
        <v>#VALUE!</v>
      </c>
      <c r="EY3" t="e">
        <f>AND(fitumæling!F31,"AAAAAHPutJo=")</f>
        <v>#VALUE!</v>
      </c>
      <c r="EZ3" t="e">
        <f>AND(fitumæling!G31,"AAAAAHPutJs=")</f>
        <v>#VALUE!</v>
      </c>
      <c r="FA3" t="e">
        <f>AND(fitumæling!H31,"AAAAAHPutJw=")</f>
        <v>#VALUE!</v>
      </c>
      <c r="FB3" t="e">
        <f>AND(fitumæling!I31,"AAAAAHPutJ0=")</f>
        <v>#VALUE!</v>
      </c>
      <c r="FC3" t="e">
        <f>AND(fitumæling!J31,"AAAAAHPutJ4=")</f>
        <v>#VALUE!</v>
      </c>
      <c r="FD3" t="e">
        <f>AND(fitumæling!K31,"AAAAAHPutJ8=")</f>
        <v>#VALUE!</v>
      </c>
      <c r="FE3" t="e">
        <f>AND(fitumæling!L31,"AAAAAHPutKA=")</f>
        <v>#VALUE!</v>
      </c>
      <c r="FF3" t="e">
        <f>AND(fitumæling!M31,"AAAAAHPutKE=")</f>
        <v>#VALUE!</v>
      </c>
      <c r="FG3" t="e">
        <f>AND(fitumæling!N31,"AAAAAHPutKI=")</f>
        <v>#VALUE!</v>
      </c>
      <c r="FH3" t="e">
        <f>AND(fitumæling!O31,"AAAAAHPutKM=")</f>
        <v>#VALUE!</v>
      </c>
      <c r="FI3" t="e">
        <f>AND(fitumæling!P31,"AAAAAHPutKQ=")</f>
        <v>#VALUE!</v>
      </c>
      <c r="FJ3" t="e">
        <f>AND(fitumæling!Q31,"AAAAAHPutKU=")</f>
        <v>#VALUE!</v>
      </c>
      <c r="FK3" t="e">
        <f>AND(fitumæling!R31,"AAAAAHPutKY=")</f>
        <v>#VALUE!</v>
      </c>
      <c r="FL3" t="e">
        <f>AND(fitumæling!S31,"AAAAAHPutKc=")</f>
        <v>#VALUE!</v>
      </c>
      <c r="FM3" t="e">
        <f>AND(fitumæling!T31,"AAAAAHPutKg=")</f>
        <v>#VALUE!</v>
      </c>
      <c r="FN3" t="e">
        <f>AND(fitumæling!U31,"AAAAAHPutKk=")</f>
        <v>#VALUE!</v>
      </c>
      <c r="FO3">
        <f>IF(fitumæling!32:32,"AAAAAHPutKo=",0)</f>
        <v>0</v>
      </c>
      <c r="FP3" t="e">
        <f>AND(fitumæling!A32,"AAAAAHPutKs=")</f>
        <v>#VALUE!</v>
      </c>
      <c r="FQ3" t="e">
        <f>AND(fitumæling!B32,"AAAAAHPutKw=")</f>
        <v>#VALUE!</v>
      </c>
      <c r="FR3" t="e">
        <f>AND(fitumæling!C32,"AAAAAHPutK0=")</f>
        <v>#VALUE!</v>
      </c>
      <c r="FS3" t="e">
        <f>AND(fitumæling!D32,"AAAAAHPutK4=")</f>
        <v>#VALUE!</v>
      </c>
      <c r="FT3" t="e">
        <f>AND(fitumæling!E32,"AAAAAHPutK8=")</f>
        <v>#VALUE!</v>
      </c>
      <c r="FU3" t="e">
        <f>AND(fitumæling!F32,"AAAAAHPutLA=")</f>
        <v>#VALUE!</v>
      </c>
      <c r="FV3" t="e">
        <f>AND(fitumæling!G32,"AAAAAHPutLE=")</f>
        <v>#VALUE!</v>
      </c>
      <c r="FW3" t="e">
        <f>AND(fitumæling!H32,"AAAAAHPutLI=")</f>
        <v>#VALUE!</v>
      </c>
      <c r="FX3" t="e">
        <f>AND(fitumæling!I32,"AAAAAHPutLM=")</f>
        <v>#VALUE!</v>
      </c>
      <c r="FY3" t="e">
        <f>AND(fitumæling!J32,"AAAAAHPutLQ=")</f>
        <v>#VALUE!</v>
      </c>
      <c r="FZ3" t="e">
        <f>AND(fitumæling!K32,"AAAAAHPutLU=")</f>
        <v>#VALUE!</v>
      </c>
      <c r="GA3" t="e">
        <f>AND(fitumæling!L32,"AAAAAHPutLY=")</f>
        <v>#VALUE!</v>
      </c>
      <c r="GB3" t="e">
        <f>AND(fitumæling!M32,"AAAAAHPutLc=")</f>
        <v>#VALUE!</v>
      </c>
      <c r="GC3" t="e">
        <f>AND(fitumæling!N32,"AAAAAHPutLg=")</f>
        <v>#VALUE!</v>
      </c>
      <c r="GD3" t="e">
        <f>AND(fitumæling!O32,"AAAAAHPutLk=")</f>
        <v>#VALUE!</v>
      </c>
      <c r="GE3" t="e">
        <f>AND(fitumæling!P32,"AAAAAHPutLo=")</f>
        <v>#VALUE!</v>
      </c>
      <c r="GF3" t="e">
        <f>AND(fitumæling!Q32,"AAAAAHPutLs=")</f>
        <v>#VALUE!</v>
      </c>
      <c r="GG3" t="e">
        <f>AND(fitumæling!R32,"AAAAAHPutLw=")</f>
        <v>#VALUE!</v>
      </c>
      <c r="GH3" t="e">
        <f>AND(fitumæling!S32,"AAAAAHPutL0=")</f>
        <v>#VALUE!</v>
      </c>
      <c r="GI3" t="e">
        <f>AND(fitumæling!T32,"AAAAAHPutL4=")</f>
        <v>#VALUE!</v>
      </c>
      <c r="GJ3" t="e">
        <f>AND(fitumæling!U32,"AAAAAHPutL8=")</f>
        <v>#VALUE!</v>
      </c>
      <c r="GK3">
        <f>IF(fitumæling!33:33,"AAAAAHPutMA=",0)</f>
        <v>0</v>
      </c>
      <c r="GL3" t="e">
        <f>AND(fitumæling!A33,"AAAAAHPutME=")</f>
        <v>#VALUE!</v>
      </c>
      <c r="GM3" t="e">
        <f>AND(fitumæling!B33,"AAAAAHPutMI=")</f>
        <v>#VALUE!</v>
      </c>
      <c r="GN3" t="e">
        <f>AND(fitumæling!C33,"AAAAAHPutMM=")</f>
        <v>#VALUE!</v>
      </c>
      <c r="GO3" t="e">
        <f>AND(fitumæling!D33,"AAAAAHPutMQ=")</f>
        <v>#VALUE!</v>
      </c>
      <c r="GP3" t="e">
        <f>AND(fitumæling!E33,"AAAAAHPutMU=")</f>
        <v>#VALUE!</v>
      </c>
      <c r="GQ3" t="e">
        <f>AND(fitumæling!F33,"AAAAAHPutMY=")</f>
        <v>#VALUE!</v>
      </c>
      <c r="GR3" t="e">
        <f>AND(fitumæling!G33,"AAAAAHPutMc=")</f>
        <v>#VALUE!</v>
      </c>
      <c r="GS3" t="e">
        <f>AND(fitumæling!H33,"AAAAAHPutMg=")</f>
        <v>#VALUE!</v>
      </c>
      <c r="GT3" t="e">
        <f>AND(fitumæling!I33,"AAAAAHPutMk=")</f>
        <v>#VALUE!</v>
      </c>
      <c r="GU3" t="e">
        <f>AND(fitumæling!J33,"AAAAAHPutMo=")</f>
        <v>#VALUE!</v>
      </c>
      <c r="GV3" t="e">
        <f>AND(fitumæling!K33,"AAAAAHPutMs=")</f>
        <v>#VALUE!</v>
      </c>
      <c r="GW3" t="e">
        <f>AND(fitumæling!L33,"AAAAAHPutMw=")</f>
        <v>#VALUE!</v>
      </c>
      <c r="GX3" t="e">
        <f>AND(fitumæling!M33,"AAAAAHPutM0=")</f>
        <v>#VALUE!</v>
      </c>
      <c r="GY3" t="e">
        <f>AND(fitumæling!N33,"AAAAAHPutM4=")</f>
        <v>#VALUE!</v>
      </c>
      <c r="GZ3" t="e">
        <f>AND(fitumæling!O33,"AAAAAHPutM8=")</f>
        <v>#VALUE!</v>
      </c>
      <c r="HA3" t="e">
        <f>AND(fitumæling!P33,"AAAAAHPutNA=")</f>
        <v>#VALUE!</v>
      </c>
      <c r="HB3" t="e">
        <f>AND(fitumæling!Q33,"AAAAAHPutNE=")</f>
        <v>#VALUE!</v>
      </c>
      <c r="HC3" t="e">
        <f>AND(fitumæling!R33,"AAAAAHPutNI=")</f>
        <v>#VALUE!</v>
      </c>
      <c r="HD3" t="e">
        <f>AND(fitumæling!S33,"AAAAAHPutNM=")</f>
        <v>#VALUE!</v>
      </c>
      <c r="HE3" t="e">
        <f>AND(fitumæling!T33,"AAAAAHPutNQ=")</f>
        <v>#VALUE!</v>
      </c>
      <c r="HF3" t="e">
        <f>AND(fitumæling!U33,"AAAAAHPutNU=")</f>
        <v>#VALUE!</v>
      </c>
      <c r="HG3">
        <f>IF(fitumæling!34:34,"AAAAAHPutNY=",0)</f>
        <v>0</v>
      </c>
      <c r="HH3" t="e">
        <f>AND(fitumæling!A34,"AAAAAHPutNc=")</f>
        <v>#VALUE!</v>
      </c>
      <c r="HI3" t="e">
        <f>AND(fitumæling!B34,"AAAAAHPutNg=")</f>
        <v>#VALUE!</v>
      </c>
      <c r="HJ3" t="e">
        <f>AND(fitumæling!C34,"AAAAAHPutNk=")</f>
        <v>#VALUE!</v>
      </c>
      <c r="HK3" t="e">
        <f>AND(fitumæling!D34,"AAAAAHPutNo=")</f>
        <v>#VALUE!</v>
      </c>
      <c r="HL3" t="e">
        <f>AND(fitumæling!E34,"AAAAAHPutNs=")</f>
        <v>#VALUE!</v>
      </c>
      <c r="HM3" t="e">
        <f>AND(fitumæling!F34,"AAAAAHPutNw=")</f>
        <v>#VALUE!</v>
      </c>
      <c r="HN3" t="e">
        <f>AND(fitumæling!G34,"AAAAAHPutN0=")</f>
        <v>#VALUE!</v>
      </c>
      <c r="HO3" t="e">
        <f>AND(fitumæling!H34,"AAAAAHPutN4=")</f>
        <v>#VALUE!</v>
      </c>
      <c r="HP3" t="e">
        <f>AND(fitumæling!I34,"AAAAAHPutN8=")</f>
        <v>#VALUE!</v>
      </c>
      <c r="HQ3" t="e">
        <f>AND(fitumæling!J34,"AAAAAHPutOA=")</f>
        <v>#VALUE!</v>
      </c>
      <c r="HR3" t="e">
        <f>AND(fitumæling!K34,"AAAAAHPutOE=")</f>
        <v>#VALUE!</v>
      </c>
      <c r="HS3" t="e">
        <f>AND(fitumæling!L34,"AAAAAHPutOI=")</f>
        <v>#VALUE!</v>
      </c>
      <c r="HT3" t="e">
        <f>AND(fitumæling!M34,"AAAAAHPutOM=")</f>
        <v>#VALUE!</v>
      </c>
      <c r="HU3" t="e">
        <f>AND(fitumæling!N34,"AAAAAHPutOQ=")</f>
        <v>#VALUE!</v>
      </c>
      <c r="HV3" t="e">
        <f>AND(fitumæling!O34,"AAAAAHPutOU=")</f>
        <v>#VALUE!</v>
      </c>
      <c r="HW3" t="e">
        <f>AND(fitumæling!P34,"AAAAAHPutOY=")</f>
        <v>#VALUE!</v>
      </c>
      <c r="HX3" t="e">
        <f>AND(fitumæling!Q34,"AAAAAHPutOc=")</f>
        <v>#VALUE!</v>
      </c>
      <c r="HY3" t="e">
        <f>AND(fitumæling!R34,"AAAAAHPutOg=")</f>
        <v>#VALUE!</v>
      </c>
      <c r="HZ3" t="e">
        <f>AND(fitumæling!S34,"AAAAAHPutOk=")</f>
        <v>#VALUE!</v>
      </c>
      <c r="IA3" t="e">
        <f>AND(fitumæling!T34,"AAAAAHPutOo=")</f>
        <v>#VALUE!</v>
      </c>
      <c r="IB3" t="e">
        <f>AND(fitumæling!U34,"AAAAAHPutOs=")</f>
        <v>#VALUE!</v>
      </c>
      <c r="IC3">
        <f>IF(fitumæling!35:35,"AAAAAHPutOw=",0)</f>
        <v>0</v>
      </c>
      <c r="ID3" t="e">
        <f>AND(fitumæling!A35,"AAAAAHPutO0=")</f>
        <v>#VALUE!</v>
      </c>
      <c r="IE3" t="e">
        <f>AND(fitumæling!B35,"AAAAAHPutO4=")</f>
        <v>#VALUE!</v>
      </c>
      <c r="IF3" t="e">
        <f>AND(fitumæling!C35,"AAAAAHPutO8=")</f>
        <v>#VALUE!</v>
      </c>
      <c r="IG3" t="e">
        <f>AND(fitumæling!D35,"AAAAAHPutPA=")</f>
        <v>#VALUE!</v>
      </c>
      <c r="IH3" t="e">
        <f>AND(fitumæling!E35,"AAAAAHPutPE=")</f>
        <v>#VALUE!</v>
      </c>
      <c r="II3" t="e">
        <f>AND(fitumæling!F35,"AAAAAHPutPI=")</f>
        <v>#VALUE!</v>
      </c>
      <c r="IJ3" t="e">
        <f>AND(fitumæling!G35,"AAAAAHPutPM=")</f>
        <v>#VALUE!</v>
      </c>
      <c r="IK3" t="e">
        <f>AND(fitumæling!H35,"AAAAAHPutPQ=")</f>
        <v>#VALUE!</v>
      </c>
      <c r="IL3" t="e">
        <f>AND(fitumæling!I35,"AAAAAHPutPU=")</f>
        <v>#VALUE!</v>
      </c>
      <c r="IM3" t="e">
        <f>AND(fitumæling!J35,"AAAAAHPutPY=")</f>
        <v>#VALUE!</v>
      </c>
      <c r="IN3" t="e">
        <f>AND(fitumæling!K35,"AAAAAHPutPc=")</f>
        <v>#VALUE!</v>
      </c>
      <c r="IO3" t="e">
        <f>AND(fitumæling!L35,"AAAAAHPutPg=")</f>
        <v>#VALUE!</v>
      </c>
      <c r="IP3" t="e">
        <f>AND(fitumæling!M35,"AAAAAHPutPk=")</f>
        <v>#VALUE!</v>
      </c>
      <c r="IQ3" t="e">
        <f>AND(fitumæling!N35,"AAAAAHPutPo=")</f>
        <v>#VALUE!</v>
      </c>
      <c r="IR3" t="e">
        <f>AND(fitumæling!O35,"AAAAAHPutPs=")</f>
        <v>#VALUE!</v>
      </c>
      <c r="IS3" t="e">
        <f>AND(fitumæling!P35,"AAAAAHPutPw=")</f>
        <v>#VALUE!</v>
      </c>
      <c r="IT3" t="e">
        <f>AND(fitumæling!Q35,"AAAAAHPutP0=")</f>
        <v>#VALUE!</v>
      </c>
      <c r="IU3" t="e">
        <f>AND(fitumæling!R35,"AAAAAHPutP4=")</f>
        <v>#VALUE!</v>
      </c>
      <c r="IV3" t="e">
        <f>AND(fitumæling!S35,"AAAAAHPutP8=")</f>
        <v>#VALUE!</v>
      </c>
    </row>
    <row r="4" spans="1:256" x14ac:dyDescent="0.25">
      <c r="A4" t="e">
        <f>AND(fitumæling!T35,"AAAAABdtrwA=")</f>
        <v>#VALUE!</v>
      </c>
      <c r="B4" t="e">
        <f>AND(fitumæling!U35,"AAAAABdtrwE=")</f>
        <v>#VALUE!</v>
      </c>
      <c r="C4">
        <f>IF(fitumæling!36:36,"AAAAABdtrwI=",0)</f>
        <v>0</v>
      </c>
      <c r="D4" t="e">
        <f>AND(fitumæling!A36,"AAAAABdtrwM=")</f>
        <v>#VALUE!</v>
      </c>
      <c r="E4" t="e">
        <f>AND(fitumæling!B36,"AAAAABdtrwQ=")</f>
        <v>#VALUE!</v>
      </c>
      <c r="F4" t="e">
        <f>AND(fitumæling!C36,"AAAAABdtrwU=")</f>
        <v>#VALUE!</v>
      </c>
      <c r="G4" t="e">
        <f>AND(fitumæling!D36,"AAAAABdtrwY=")</f>
        <v>#VALUE!</v>
      </c>
      <c r="H4" t="e">
        <f>AND(fitumæling!E36,"AAAAABdtrwc=")</f>
        <v>#VALUE!</v>
      </c>
      <c r="I4" t="e">
        <f>AND(fitumæling!F36,"AAAAABdtrwg=")</f>
        <v>#VALUE!</v>
      </c>
      <c r="J4" t="e">
        <f>AND(fitumæling!G36,"AAAAABdtrwk=")</f>
        <v>#VALUE!</v>
      </c>
      <c r="K4" t="e">
        <f>AND(fitumæling!H36,"AAAAABdtrwo=")</f>
        <v>#VALUE!</v>
      </c>
      <c r="L4" t="e">
        <f>AND(fitumæling!I36,"AAAAABdtrws=")</f>
        <v>#VALUE!</v>
      </c>
      <c r="M4" t="e">
        <f>AND(fitumæling!J36,"AAAAABdtrww=")</f>
        <v>#VALUE!</v>
      </c>
      <c r="N4" t="e">
        <f>AND(fitumæling!K36,"AAAAABdtrw0=")</f>
        <v>#VALUE!</v>
      </c>
      <c r="O4" t="e">
        <f>AND(fitumæling!L36,"AAAAABdtrw4=")</f>
        <v>#VALUE!</v>
      </c>
      <c r="P4" t="e">
        <f>AND(fitumæling!M36,"AAAAABdtrw8=")</f>
        <v>#VALUE!</v>
      </c>
      <c r="Q4" t="e">
        <f>AND(fitumæling!N36,"AAAAABdtrxA=")</f>
        <v>#VALUE!</v>
      </c>
      <c r="R4" t="e">
        <f>AND(fitumæling!O36,"AAAAABdtrxE=")</f>
        <v>#VALUE!</v>
      </c>
      <c r="S4" t="e">
        <f>AND(fitumæling!P36,"AAAAABdtrxI=")</f>
        <v>#VALUE!</v>
      </c>
      <c r="T4" t="e">
        <f>AND(fitumæling!Q36,"AAAAABdtrxM=")</f>
        <v>#VALUE!</v>
      </c>
      <c r="U4" t="e">
        <f>AND(fitumæling!R36,"AAAAABdtrxQ=")</f>
        <v>#VALUE!</v>
      </c>
      <c r="V4" t="e">
        <f>AND(fitumæling!S36,"AAAAABdtrxU=")</f>
        <v>#VALUE!</v>
      </c>
      <c r="W4" t="e">
        <f>AND(fitumæling!T36,"AAAAABdtrxY=")</f>
        <v>#VALUE!</v>
      </c>
      <c r="X4" t="e">
        <f>AND(fitumæling!U36,"AAAAABdtrxc=")</f>
        <v>#VALUE!</v>
      </c>
      <c r="Y4">
        <f>IF(fitumæling!37:37,"AAAAABdtrxg=",0)</f>
        <v>0</v>
      </c>
      <c r="Z4" t="e">
        <f>AND(fitumæling!A37,"AAAAABdtrxk=")</f>
        <v>#VALUE!</v>
      </c>
      <c r="AA4" t="e">
        <f>AND(fitumæling!B37,"AAAAABdtrxo=")</f>
        <v>#VALUE!</v>
      </c>
      <c r="AB4" t="e">
        <f>AND(fitumæling!C37,"AAAAABdtrxs=")</f>
        <v>#VALUE!</v>
      </c>
      <c r="AC4" t="e">
        <f>AND(fitumæling!D37,"AAAAABdtrxw=")</f>
        <v>#VALUE!</v>
      </c>
      <c r="AD4" t="e">
        <f>AND(fitumæling!E37,"AAAAABdtrx0=")</f>
        <v>#VALUE!</v>
      </c>
      <c r="AE4" t="e">
        <f>AND(fitumæling!F37,"AAAAABdtrx4=")</f>
        <v>#VALUE!</v>
      </c>
      <c r="AF4" t="e">
        <f>AND(fitumæling!G37,"AAAAABdtrx8=")</f>
        <v>#VALUE!</v>
      </c>
      <c r="AG4" t="e">
        <f>AND(fitumæling!H37,"AAAAABdtryA=")</f>
        <v>#VALUE!</v>
      </c>
      <c r="AH4" t="e">
        <f>AND(fitumæling!I37,"AAAAABdtryE=")</f>
        <v>#VALUE!</v>
      </c>
      <c r="AI4" t="e">
        <f>AND(fitumæling!J37,"AAAAABdtryI=")</f>
        <v>#VALUE!</v>
      </c>
      <c r="AJ4" t="e">
        <f>AND(fitumæling!K37,"AAAAABdtryM=")</f>
        <v>#VALUE!</v>
      </c>
      <c r="AK4" t="e">
        <f>AND(fitumæling!L37,"AAAAABdtryQ=")</f>
        <v>#VALUE!</v>
      </c>
      <c r="AL4" t="e">
        <f>AND(fitumæling!M37,"AAAAABdtryU=")</f>
        <v>#VALUE!</v>
      </c>
      <c r="AM4" t="e">
        <f>AND(fitumæling!N37,"AAAAABdtryY=")</f>
        <v>#VALUE!</v>
      </c>
      <c r="AN4" t="e">
        <f>AND(fitumæling!O37,"AAAAABdtryc=")</f>
        <v>#VALUE!</v>
      </c>
      <c r="AO4" t="e">
        <f>AND(fitumæling!P37,"AAAAABdtryg=")</f>
        <v>#VALUE!</v>
      </c>
      <c r="AP4" t="e">
        <f>AND(fitumæling!Q37,"AAAAABdtryk=")</f>
        <v>#VALUE!</v>
      </c>
      <c r="AQ4" t="e">
        <f>AND(fitumæling!R37,"AAAAABdtryo=")</f>
        <v>#VALUE!</v>
      </c>
      <c r="AR4" t="e">
        <f>AND(fitumæling!S37,"AAAAABdtrys=")</f>
        <v>#VALUE!</v>
      </c>
      <c r="AS4" t="e">
        <f>AND(fitumæling!T37,"AAAAABdtryw=")</f>
        <v>#VALUE!</v>
      </c>
      <c r="AT4" t="e">
        <f>AND(fitumæling!U37,"AAAAABdtry0=")</f>
        <v>#VALUE!</v>
      </c>
      <c r="AU4">
        <f>IF(fitumæling!38:38,"AAAAABdtry4=",0)</f>
        <v>0</v>
      </c>
      <c r="AV4" t="e">
        <f>AND(fitumæling!A38,"AAAAABdtry8=")</f>
        <v>#VALUE!</v>
      </c>
      <c r="AW4" t="e">
        <f>AND(fitumæling!B38,"AAAAABdtrzA=")</f>
        <v>#VALUE!</v>
      </c>
      <c r="AX4" t="e">
        <f>AND(fitumæling!C38,"AAAAABdtrzE=")</f>
        <v>#VALUE!</v>
      </c>
      <c r="AY4" t="e">
        <f>AND(fitumæling!D38,"AAAAABdtrzI=")</f>
        <v>#VALUE!</v>
      </c>
      <c r="AZ4" t="e">
        <f>AND(fitumæling!E38,"AAAAABdtrzM=")</f>
        <v>#VALUE!</v>
      </c>
      <c r="BA4" t="e">
        <f>AND(fitumæling!F38,"AAAAABdtrzQ=")</f>
        <v>#VALUE!</v>
      </c>
      <c r="BB4" t="e">
        <f>AND(fitumæling!G38,"AAAAABdtrzU=")</f>
        <v>#VALUE!</v>
      </c>
      <c r="BC4" t="e">
        <f>AND(fitumæling!H38,"AAAAABdtrzY=")</f>
        <v>#VALUE!</v>
      </c>
      <c r="BD4" t="e">
        <f>AND(fitumæling!I38,"AAAAABdtrzc=")</f>
        <v>#VALUE!</v>
      </c>
      <c r="BE4" t="e">
        <f>AND(fitumæling!J38,"AAAAABdtrzg=")</f>
        <v>#VALUE!</v>
      </c>
      <c r="BF4" t="e">
        <f>AND(fitumæling!K38,"AAAAABdtrzk=")</f>
        <v>#VALUE!</v>
      </c>
      <c r="BG4" t="e">
        <f>AND(fitumæling!L38,"AAAAABdtrzo=")</f>
        <v>#VALUE!</v>
      </c>
      <c r="BH4" t="e">
        <f>AND(fitumæling!M38,"AAAAABdtrzs=")</f>
        <v>#VALUE!</v>
      </c>
      <c r="BI4" t="e">
        <f>AND(fitumæling!N38,"AAAAABdtrzw=")</f>
        <v>#VALUE!</v>
      </c>
      <c r="BJ4" t="e">
        <f>AND(fitumæling!O38,"AAAAABdtrz0=")</f>
        <v>#VALUE!</v>
      </c>
      <c r="BK4" t="e">
        <f>AND(fitumæling!P38,"AAAAABdtrz4=")</f>
        <v>#VALUE!</v>
      </c>
      <c r="BL4" t="e">
        <f>AND(fitumæling!Q38,"AAAAABdtrz8=")</f>
        <v>#VALUE!</v>
      </c>
      <c r="BM4" t="e">
        <f>AND(fitumæling!R38,"AAAAABdtr0A=")</f>
        <v>#VALUE!</v>
      </c>
      <c r="BN4" t="e">
        <f>AND(fitumæling!S38,"AAAAABdtr0E=")</f>
        <v>#VALUE!</v>
      </c>
      <c r="BO4" t="e">
        <f>AND(fitumæling!T38,"AAAAABdtr0I=")</f>
        <v>#VALUE!</v>
      </c>
      <c r="BP4" t="e">
        <f>AND(fitumæling!U38,"AAAAABdtr0M=")</f>
        <v>#VALUE!</v>
      </c>
      <c r="BQ4">
        <f>IF(fitumæling!39:39,"AAAAABdtr0Q=",0)</f>
        <v>0</v>
      </c>
      <c r="BR4" t="e">
        <f>AND(fitumæling!A39,"AAAAABdtr0U=")</f>
        <v>#VALUE!</v>
      </c>
      <c r="BS4" t="e">
        <f>AND(fitumæling!B39,"AAAAABdtr0Y=")</f>
        <v>#VALUE!</v>
      </c>
      <c r="BT4" t="e">
        <f>AND(fitumæling!C39,"AAAAABdtr0c=")</f>
        <v>#VALUE!</v>
      </c>
      <c r="BU4" t="e">
        <f>AND(fitumæling!D39,"AAAAABdtr0g=")</f>
        <v>#VALUE!</v>
      </c>
      <c r="BV4" t="e">
        <f>AND(fitumæling!E39,"AAAAABdtr0k=")</f>
        <v>#VALUE!</v>
      </c>
      <c r="BW4" t="e">
        <f>AND(fitumæling!F39,"AAAAABdtr0o=")</f>
        <v>#VALUE!</v>
      </c>
      <c r="BX4" t="e">
        <f>AND(fitumæling!G39,"AAAAABdtr0s=")</f>
        <v>#VALUE!</v>
      </c>
      <c r="BY4" t="e">
        <f>AND(fitumæling!H39,"AAAAABdtr0w=")</f>
        <v>#VALUE!</v>
      </c>
      <c r="BZ4" t="e">
        <f>AND(fitumæling!I39,"AAAAABdtr00=")</f>
        <v>#VALUE!</v>
      </c>
      <c r="CA4" t="e">
        <f>AND(fitumæling!J39,"AAAAABdtr04=")</f>
        <v>#VALUE!</v>
      </c>
      <c r="CB4" t="e">
        <f>AND(fitumæling!K39,"AAAAABdtr08=")</f>
        <v>#VALUE!</v>
      </c>
      <c r="CC4" t="e">
        <f>AND(fitumæling!L39,"AAAAABdtr1A=")</f>
        <v>#VALUE!</v>
      </c>
      <c r="CD4" t="e">
        <f>AND(fitumæling!M39,"AAAAABdtr1E=")</f>
        <v>#VALUE!</v>
      </c>
      <c r="CE4" t="e">
        <f>AND(fitumæling!N39,"AAAAABdtr1I=")</f>
        <v>#VALUE!</v>
      </c>
      <c r="CF4" t="e">
        <f>AND(fitumæling!O39,"AAAAABdtr1M=")</f>
        <v>#VALUE!</v>
      </c>
      <c r="CG4" t="e">
        <f>AND(fitumæling!P39,"AAAAABdtr1Q=")</f>
        <v>#VALUE!</v>
      </c>
      <c r="CH4" t="e">
        <f>AND(fitumæling!Q39,"AAAAABdtr1U=")</f>
        <v>#VALUE!</v>
      </c>
      <c r="CI4" t="e">
        <f>AND(fitumæling!R39,"AAAAABdtr1Y=")</f>
        <v>#VALUE!</v>
      </c>
      <c r="CJ4" t="e">
        <f>AND(fitumæling!S39,"AAAAABdtr1c=")</f>
        <v>#VALUE!</v>
      </c>
      <c r="CK4" t="e">
        <f>AND(fitumæling!T39,"AAAAABdtr1g=")</f>
        <v>#VALUE!</v>
      </c>
      <c r="CL4" t="e">
        <f>AND(fitumæling!U39,"AAAAABdtr1k=")</f>
        <v>#VALUE!</v>
      </c>
      <c r="CM4">
        <f>IF(fitumæling!40:40,"AAAAABdtr1o=",0)</f>
        <v>0</v>
      </c>
      <c r="CN4" t="e">
        <f>AND(fitumæling!A40,"AAAAABdtr1s=")</f>
        <v>#VALUE!</v>
      </c>
      <c r="CO4" t="e">
        <f>AND(fitumæling!B40,"AAAAABdtr1w=")</f>
        <v>#VALUE!</v>
      </c>
      <c r="CP4" t="e">
        <f>AND(fitumæling!C40,"AAAAABdtr10=")</f>
        <v>#VALUE!</v>
      </c>
      <c r="CQ4" t="e">
        <f>AND(fitumæling!D40,"AAAAABdtr14=")</f>
        <v>#VALUE!</v>
      </c>
      <c r="CR4" t="e">
        <f>AND(fitumæling!E40,"AAAAABdtr18=")</f>
        <v>#VALUE!</v>
      </c>
      <c r="CS4" t="e">
        <f>AND(fitumæling!F40,"AAAAABdtr2A=")</f>
        <v>#VALUE!</v>
      </c>
      <c r="CT4" t="e">
        <f>AND(fitumæling!G40,"AAAAABdtr2E=")</f>
        <v>#VALUE!</v>
      </c>
      <c r="CU4" t="e">
        <f>AND(fitumæling!H40,"AAAAABdtr2I=")</f>
        <v>#VALUE!</v>
      </c>
      <c r="CV4" t="e">
        <f>AND(fitumæling!I40,"AAAAABdtr2M=")</f>
        <v>#VALUE!</v>
      </c>
      <c r="CW4" t="e">
        <f>AND(fitumæling!J40,"AAAAABdtr2Q=")</f>
        <v>#VALUE!</v>
      </c>
      <c r="CX4" t="e">
        <f>AND(fitumæling!K40,"AAAAABdtr2U=")</f>
        <v>#VALUE!</v>
      </c>
      <c r="CY4" t="e">
        <f>AND(fitumæling!L40,"AAAAABdtr2Y=")</f>
        <v>#VALUE!</v>
      </c>
      <c r="CZ4" t="e">
        <f>AND(fitumæling!M40,"AAAAABdtr2c=")</f>
        <v>#VALUE!</v>
      </c>
      <c r="DA4" t="e">
        <f>AND(fitumæling!N40,"AAAAABdtr2g=")</f>
        <v>#VALUE!</v>
      </c>
      <c r="DB4" t="e">
        <f>AND(fitumæling!O40,"AAAAABdtr2k=")</f>
        <v>#VALUE!</v>
      </c>
      <c r="DC4" t="e">
        <f>AND(fitumæling!P40,"AAAAABdtr2o=")</f>
        <v>#VALUE!</v>
      </c>
      <c r="DD4" t="e">
        <f>AND(fitumæling!Q40,"AAAAABdtr2s=")</f>
        <v>#VALUE!</v>
      </c>
      <c r="DE4" t="e">
        <f>AND(fitumæling!R40,"AAAAABdtr2w=")</f>
        <v>#VALUE!</v>
      </c>
      <c r="DF4" t="e">
        <f>AND(fitumæling!S40,"AAAAABdtr20=")</f>
        <v>#VALUE!</v>
      </c>
      <c r="DG4" t="e">
        <f>AND(fitumæling!T40,"AAAAABdtr24=")</f>
        <v>#VALUE!</v>
      </c>
      <c r="DH4" t="e">
        <f>AND(fitumæling!U40,"AAAAABdtr28=")</f>
        <v>#VALUE!</v>
      </c>
      <c r="DI4">
        <f>IF(fitumæling!41:41,"AAAAABdtr3A=",0)</f>
        <v>0</v>
      </c>
      <c r="DJ4" t="e">
        <f>AND(fitumæling!A41,"AAAAABdtr3E=")</f>
        <v>#VALUE!</v>
      </c>
      <c r="DK4" t="e">
        <f>AND(fitumæling!B41,"AAAAABdtr3I=")</f>
        <v>#VALUE!</v>
      </c>
      <c r="DL4" t="e">
        <f>AND(fitumæling!C41,"AAAAABdtr3M=")</f>
        <v>#VALUE!</v>
      </c>
      <c r="DM4" t="e">
        <f>AND(fitumæling!D41,"AAAAABdtr3Q=")</f>
        <v>#VALUE!</v>
      </c>
      <c r="DN4" t="e">
        <f>AND(fitumæling!E41,"AAAAABdtr3U=")</f>
        <v>#VALUE!</v>
      </c>
      <c r="DO4" t="e">
        <f>AND(fitumæling!F41,"AAAAABdtr3Y=")</f>
        <v>#VALUE!</v>
      </c>
      <c r="DP4" t="e">
        <f>AND(fitumæling!G41,"AAAAABdtr3c=")</f>
        <v>#VALUE!</v>
      </c>
      <c r="DQ4" t="e">
        <f>AND(fitumæling!H41,"AAAAABdtr3g=")</f>
        <v>#VALUE!</v>
      </c>
      <c r="DR4" t="e">
        <f>AND(fitumæling!I41,"AAAAABdtr3k=")</f>
        <v>#VALUE!</v>
      </c>
      <c r="DS4" t="e">
        <f>AND(fitumæling!J41,"AAAAABdtr3o=")</f>
        <v>#VALUE!</v>
      </c>
      <c r="DT4" t="e">
        <f>AND(fitumæling!K41,"AAAAABdtr3s=")</f>
        <v>#VALUE!</v>
      </c>
      <c r="DU4" t="e">
        <f>AND(fitumæling!L41,"AAAAABdtr3w=")</f>
        <v>#VALUE!</v>
      </c>
      <c r="DV4" t="e">
        <f>AND(fitumæling!M41,"AAAAABdtr30=")</f>
        <v>#VALUE!</v>
      </c>
      <c r="DW4" t="e">
        <f>AND(fitumæling!N41,"AAAAABdtr34=")</f>
        <v>#VALUE!</v>
      </c>
      <c r="DX4" t="e">
        <f>AND(fitumæling!O41,"AAAAABdtr38=")</f>
        <v>#VALUE!</v>
      </c>
      <c r="DY4" t="e">
        <f>AND(fitumæling!P41,"AAAAABdtr4A=")</f>
        <v>#VALUE!</v>
      </c>
      <c r="DZ4" t="e">
        <f>AND(fitumæling!Q41,"AAAAABdtr4E=")</f>
        <v>#VALUE!</v>
      </c>
      <c r="EA4" t="e">
        <f>AND(fitumæling!R41,"AAAAABdtr4I=")</f>
        <v>#VALUE!</v>
      </c>
      <c r="EB4" t="e">
        <f>AND(fitumæling!S41,"AAAAABdtr4M=")</f>
        <v>#VALUE!</v>
      </c>
      <c r="EC4" t="e">
        <f>AND(fitumæling!T41,"AAAAABdtr4Q=")</f>
        <v>#VALUE!</v>
      </c>
      <c r="ED4" t="e">
        <f>AND(fitumæling!U41,"AAAAABdtr4U=")</f>
        <v>#VALUE!</v>
      </c>
      <c r="EE4">
        <f>IF(fitumæling!46:46,"AAAAABdtr4Y=",0)</f>
        <v>0</v>
      </c>
      <c r="EF4" t="e">
        <f>AND(fitumæling!A46,"AAAAABdtr4c=")</f>
        <v>#VALUE!</v>
      </c>
      <c r="EG4" t="e">
        <f>AND(fitumæling!B46,"AAAAABdtr4g=")</f>
        <v>#VALUE!</v>
      </c>
      <c r="EH4" t="e">
        <f>AND(fitumæling!C46,"AAAAABdtr4k=")</f>
        <v>#VALUE!</v>
      </c>
      <c r="EI4" t="e">
        <f>AND(fitumæling!D46,"AAAAABdtr4o=")</f>
        <v>#VALUE!</v>
      </c>
      <c r="EJ4" t="e">
        <f>AND(fitumæling!E46,"AAAAABdtr4s=")</f>
        <v>#VALUE!</v>
      </c>
      <c r="EK4" t="e">
        <f>AND(fitumæling!F46,"AAAAABdtr4w=")</f>
        <v>#VALUE!</v>
      </c>
      <c r="EL4" t="e">
        <f>AND(fitumæling!G46,"AAAAABdtr40=")</f>
        <v>#VALUE!</v>
      </c>
      <c r="EM4" t="e">
        <f>AND(fitumæling!H46,"AAAAABdtr44=")</f>
        <v>#VALUE!</v>
      </c>
      <c r="EN4" t="e">
        <f>AND(fitumæling!I46,"AAAAABdtr48=")</f>
        <v>#VALUE!</v>
      </c>
      <c r="EO4" t="e">
        <f>AND(fitumæling!J46,"AAAAABdtr5A=")</f>
        <v>#VALUE!</v>
      </c>
      <c r="EP4" t="e">
        <f>AND(fitumæling!K46,"AAAAABdtr5E=")</f>
        <v>#VALUE!</v>
      </c>
      <c r="EQ4" t="e">
        <f>AND(fitumæling!L46,"AAAAABdtr5I=")</f>
        <v>#VALUE!</v>
      </c>
      <c r="ER4" t="e">
        <f>AND(fitumæling!M46,"AAAAABdtr5M=")</f>
        <v>#VALUE!</v>
      </c>
      <c r="ES4" t="e">
        <f>AND(fitumæling!N46,"AAAAABdtr5Q=")</f>
        <v>#VALUE!</v>
      </c>
      <c r="ET4" t="e">
        <f>AND(fitumæling!O46,"AAAAABdtr5U=")</f>
        <v>#VALUE!</v>
      </c>
      <c r="EU4" t="e">
        <f>AND(fitumæling!P46,"AAAAABdtr5Y=")</f>
        <v>#VALUE!</v>
      </c>
      <c r="EV4" t="e">
        <f>AND(fitumæling!Q46,"AAAAABdtr5c=")</f>
        <v>#VALUE!</v>
      </c>
      <c r="EW4" t="e">
        <f>AND(fitumæling!R46,"AAAAABdtr5g=")</f>
        <v>#VALUE!</v>
      </c>
      <c r="EX4" t="e">
        <f>AND(fitumæling!S46,"AAAAABdtr5k=")</f>
        <v>#VALUE!</v>
      </c>
      <c r="EY4" t="e">
        <f>AND(fitumæling!T46,"AAAAABdtr5o=")</f>
        <v>#VALUE!</v>
      </c>
      <c r="EZ4" t="e">
        <f>AND(fitumæling!U46,"AAAAABdtr5s=")</f>
        <v>#VALUE!</v>
      </c>
      <c r="FA4">
        <f>IF(fitumæling!47:47,"AAAAABdtr5w=",0)</f>
        <v>0</v>
      </c>
      <c r="FB4" t="e">
        <f>AND(fitumæling!A47,"AAAAABdtr50=")</f>
        <v>#VALUE!</v>
      </c>
      <c r="FC4" t="e">
        <f>AND(fitumæling!B47,"AAAAABdtr54=")</f>
        <v>#VALUE!</v>
      </c>
      <c r="FD4" t="e">
        <f>AND(fitumæling!C47,"AAAAABdtr58=")</f>
        <v>#VALUE!</v>
      </c>
      <c r="FE4" t="e">
        <f>AND(fitumæling!D47,"AAAAABdtr6A=")</f>
        <v>#VALUE!</v>
      </c>
      <c r="FF4" t="e">
        <f>AND(fitumæling!E47,"AAAAABdtr6E=")</f>
        <v>#VALUE!</v>
      </c>
      <c r="FG4" t="e">
        <f>AND(fitumæling!F47,"AAAAABdtr6I=")</f>
        <v>#VALUE!</v>
      </c>
      <c r="FH4" t="e">
        <f>AND(fitumæling!G47,"AAAAABdtr6M=")</f>
        <v>#VALUE!</v>
      </c>
      <c r="FI4" t="e">
        <f>AND(fitumæling!H47,"AAAAABdtr6Q=")</f>
        <v>#VALUE!</v>
      </c>
      <c r="FJ4" t="e">
        <f>AND(fitumæling!I47,"AAAAABdtr6U=")</f>
        <v>#VALUE!</v>
      </c>
      <c r="FK4" t="e">
        <f>AND(fitumæling!J47,"AAAAABdtr6Y=")</f>
        <v>#VALUE!</v>
      </c>
      <c r="FL4" t="e">
        <f>AND(fitumæling!K47,"AAAAABdtr6c=")</f>
        <v>#VALUE!</v>
      </c>
      <c r="FM4" t="e">
        <f>AND(fitumæling!L47,"AAAAABdtr6g=")</f>
        <v>#VALUE!</v>
      </c>
      <c r="FN4" t="e">
        <f>AND(fitumæling!M47,"AAAAABdtr6k=")</f>
        <v>#VALUE!</v>
      </c>
      <c r="FO4" t="e">
        <f>AND(fitumæling!N47,"AAAAABdtr6o=")</f>
        <v>#VALUE!</v>
      </c>
      <c r="FP4" t="e">
        <f>AND(fitumæling!O47,"AAAAABdtr6s=")</f>
        <v>#VALUE!</v>
      </c>
      <c r="FQ4" t="e">
        <f>AND(fitumæling!P47,"AAAAABdtr6w=")</f>
        <v>#VALUE!</v>
      </c>
      <c r="FR4" t="e">
        <f>AND(fitumæling!Q47,"AAAAABdtr60=")</f>
        <v>#VALUE!</v>
      </c>
      <c r="FS4" t="e">
        <f>AND(fitumæling!R47,"AAAAABdtr64=")</f>
        <v>#VALUE!</v>
      </c>
      <c r="FT4" t="e">
        <f>AND(fitumæling!S47,"AAAAABdtr68=")</f>
        <v>#VALUE!</v>
      </c>
      <c r="FU4" t="e">
        <f>AND(fitumæling!T47,"AAAAABdtr7A=")</f>
        <v>#VALUE!</v>
      </c>
      <c r="FV4" t="e">
        <f>AND(fitumæling!U47,"AAAAABdtr7E=")</f>
        <v>#VALUE!</v>
      </c>
      <c r="FW4">
        <f>IF(fitumæling!48:48,"AAAAABdtr7I=",0)</f>
        <v>0</v>
      </c>
      <c r="FX4" t="e">
        <f>AND(fitumæling!A48,"AAAAABdtr7M=")</f>
        <v>#VALUE!</v>
      </c>
      <c r="FY4" t="e">
        <f>AND(fitumæling!B48,"AAAAABdtr7Q=")</f>
        <v>#VALUE!</v>
      </c>
      <c r="FZ4" t="e">
        <f>AND(fitumæling!C48,"AAAAABdtr7U=")</f>
        <v>#VALUE!</v>
      </c>
      <c r="GA4" t="e">
        <f>AND(fitumæling!D48,"AAAAABdtr7Y=")</f>
        <v>#VALUE!</v>
      </c>
      <c r="GB4" t="e">
        <f>AND(fitumæling!E48,"AAAAABdtr7c=")</f>
        <v>#VALUE!</v>
      </c>
      <c r="GC4" t="e">
        <f>AND(fitumæling!F48,"AAAAABdtr7g=")</f>
        <v>#VALUE!</v>
      </c>
      <c r="GD4" t="e">
        <f>AND(fitumæling!G48,"AAAAABdtr7k=")</f>
        <v>#VALUE!</v>
      </c>
      <c r="GE4" t="e">
        <f>AND(fitumæling!H48,"AAAAABdtr7o=")</f>
        <v>#VALUE!</v>
      </c>
      <c r="GF4" t="e">
        <f>AND(fitumæling!I48,"AAAAABdtr7s=")</f>
        <v>#VALUE!</v>
      </c>
      <c r="GG4" t="e">
        <f>AND(fitumæling!J48,"AAAAABdtr7w=")</f>
        <v>#VALUE!</v>
      </c>
      <c r="GH4" t="e">
        <f>AND(fitumæling!K48,"AAAAABdtr70=")</f>
        <v>#VALUE!</v>
      </c>
      <c r="GI4" t="e">
        <f>AND(fitumæling!L48,"AAAAABdtr74=")</f>
        <v>#VALUE!</v>
      </c>
      <c r="GJ4" t="e">
        <f>AND(fitumæling!M48,"AAAAABdtr78=")</f>
        <v>#VALUE!</v>
      </c>
      <c r="GK4" t="e">
        <f>AND(fitumæling!N48,"AAAAABdtr8A=")</f>
        <v>#VALUE!</v>
      </c>
      <c r="GL4" t="e">
        <f>AND(fitumæling!O48,"AAAAABdtr8E=")</f>
        <v>#VALUE!</v>
      </c>
      <c r="GM4" t="e">
        <f>AND(fitumæling!P48,"AAAAABdtr8I=")</f>
        <v>#VALUE!</v>
      </c>
      <c r="GN4" t="e">
        <f>AND(fitumæling!Q48,"AAAAABdtr8M=")</f>
        <v>#VALUE!</v>
      </c>
      <c r="GO4" t="e">
        <f>AND(fitumæling!R48,"AAAAABdtr8Q=")</f>
        <v>#VALUE!</v>
      </c>
      <c r="GP4" t="e">
        <f>AND(fitumæling!S48,"AAAAABdtr8U=")</f>
        <v>#VALUE!</v>
      </c>
      <c r="GQ4" t="e">
        <f>AND(fitumæling!T48,"AAAAABdtr8Y=")</f>
        <v>#VALUE!</v>
      </c>
      <c r="GR4" t="e">
        <f>AND(fitumæling!U48,"AAAAABdtr8c=")</f>
        <v>#VALUE!</v>
      </c>
      <c r="GS4">
        <f>IF(fitumæling!49:49,"AAAAABdtr8g=",0)</f>
        <v>0</v>
      </c>
      <c r="GT4" t="e">
        <f>AND(fitumæling!A49,"AAAAABdtr8k=")</f>
        <v>#VALUE!</v>
      </c>
      <c r="GU4" t="e">
        <f>AND(fitumæling!B49,"AAAAABdtr8o=")</f>
        <v>#VALUE!</v>
      </c>
      <c r="GV4" t="e">
        <f>AND(fitumæling!C49,"AAAAABdtr8s=")</f>
        <v>#VALUE!</v>
      </c>
      <c r="GW4" t="e">
        <f>AND(fitumæling!D49,"AAAAABdtr8w=")</f>
        <v>#VALUE!</v>
      </c>
      <c r="GX4" t="e">
        <f>AND(fitumæling!E49,"AAAAABdtr80=")</f>
        <v>#VALUE!</v>
      </c>
      <c r="GY4" t="e">
        <f>AND(fitumæling!F49,"AAAAABdtr84=")</f>
        <v>#VALUE!</v>
      </c>
      <c r="GZ4" t="e">
        <f>AND(fitumæling!G49,"AAAAABdtr88=")</f>
        <v>#VALUE!</v>
      </c>
      <c r="HA4" t="e">
        <f>AND(fitumæling!H49,"AAAAABdtr9A=")</f>
        <v>#VALUE!</v>
      </c>
      <c r="HB4" t="e">
        <f>AND(fitumæling!I49,"AAAAABdtr9E=")</f>
        <v>#VALUE!</v>
      </c>
      <c r="HC4" t="e">
        <f>AND(fitumæling!J49,"AAAAABdtr9I=")</f>
        <v>#VALUE!</v>
      </c>
      <c r="HD4" t="e">
        <f>AND(fitumæling!K49,"AAAAABdtr9M=")</f>
        <v>#VALUE!</v>
      </c>
      <c r="HE4" t="e">
        <f>AND(fitumæling!L49,"AAAAABdtr9Q=")</f>
        <v>#VALUE!</v>
      </c>
      <c r="HF4" t="e">
        <f>AND(fitumæling!M49,"AAAAABdtr9U=")</f>
        <v>#VALUE!</v>
      </c>
      <c r="HG4" t="e">
        <f>AND(fitumæling!N49,"AAAAABdtr9Y=")</f>
        <v>#VALUE!</v>
      </c>
      <c r="HH4" t="e">
        <f>AND(fitumæling!O49,"AAAAABdtr9c=")</f>
        <v>#VALUE!</v>
      </c>
      <c r="HI4" t="e">
        <f>AND(fitumæling!P49,"AAAAABdtr9g=")</f>
        <v>#VALUE!</v>
      </c>
      <c r="HJ4" t="e">
        <f>AND(fitumæling!Q49,"AAAAABdtr9k=")</f>
        <v>#VALUE!</v>
      </c>
      <c r="HK4" t="e">
        <f>AND(fitumæling!R49,"AAAAABdtr9o=")</f>
        <v>#VALUE!</v>
      </c>
      <c r="HL4" t="e">
        <f>AND(fitumæling!S49,"AAAAABdtr9s=")</f>
        <v>#VALUE!</v>
      </c>
      <c r="HM4" t="e">
        <f>AND(fitumæling!T49,"AAAAABdtr9w=")</f>
        <v>#VALUE!</v>
      </c>
      <c r="HN4" t="e">
        <f>AND(fitumæling!U49,"AAAAABdtr90=")</f>
        <v>#VALUE!</v>
      </c>
      <c r="HO4">
        <f>IF(fitumæling!50:50,"AAAAABdtr94=",0)</f>
        <v>0</v>
      </c>
      <c r="HP4" t="e">
        <f>AND(fitumæling!A50,"AAAAABdtr98=")</f>
        <v>#VALUE!</v>
      </c>
      <c r="HQ4" t="e">
        <f>AND(fitumæling!B50,"AAAAABdtr+A=")</f>
        <v>#VALUE!</v>
      </c>
      <c r="HR4" t="e">
        <f>AND(fitumæling!C50,"AAAAABdtr+E=")</f>
        <v>#VALUE!</v>
      </c>
      <c r="HS4" t="e">
        <f>AND(fitumæling!D50,"AAAAABdtr+I=")</f>
        <v>#VALUE!</v>
      </c>
      <c r="HT4" t="e">
        <f>AND(fitumæling!E50,"AAAAABdtr+M=")</f>
        <v>#VALUE!</v>
      </c>
      <c r="HU4" t="e">
        <f>AND(fitumæling!F50,"AAAAABdtr+Q=")</f>
        <v>#VALUE!</v>
      </c>
      <c r="HV4" t="e">
        <f>AND(fitumæling!G50,"AAAAABdtr+U=")</f>
        <v>#VALUE!</v>
      </c>
      <c r="HW4" t="e">
        <f>AND(fitumæling!H50,"AAAAABdtr+Y=")</f>
        <v>#VALUE!</v>
      </c>
      <c r="HX4" t="e">
        <f>AND(fitumæling!I50,"AAAAABdtr+c=")</f>
        <v>#VALUE!</v>
      </c>
      <c r="HY4" t="e">
        <f>AND(fitumæling!J50,"AAAAABdtr+g=")</f>
        <v>#VALUE!</v>
      </c>
      <c r="HZ4" t="e">
        <f>AND(fitumæling!K50,"AAAAABdtr+k=")</f>
        <v>#VALUE!</v>
      </c>
      <c r="IA4" t="e">
        <f>AND(fitumæling!L50,"AAAAABdtr+o=")</f>
        <v>#VALUE!</v>
      </c>
      <c r="IB4" t="e">
        <f>AND(fitumæling!M50,"AAAAABdtr+s=")</f>
        <v>#VALUE!</v>
      </c>
      <c r="IC4" t="e">
        <f>AND(fitumæling!N50,"AAAAABdtr+w=")</f>
        <v>#VALUE!</v>
      </c>
      <c r="ID4" t="e">
        <f>AND(fitumæling!O50,"AAAAABdtr+0=")</f>
        <v>#VALUE!</v>
      </c>
      <c r="IE4" t="e">
        <f>AND(fitumæling!P50,"AAAAABdtr+4=")</f>
        <v>#VALUE!</v>
      </c>
      <c r="IF4" t="e">
        <f>AND(fitumæling!Q50,"AAAAABdtr+8=")</f>
        <v>#VALUE!</v>
      </c>
      <c r="IG4" t="e">
        <f>AND(fitumæling!R50,"AAAAABdtr/A=")</f>
        <v>#VALUE!</v>
      </c>
      <c r="IH4" t="e">
        <f>AND(fitumæling!S50,"AAAAABdtr/E=")</f>
        <v>#VALUE!</v>
      </c>
      <c r="II4" t="e">
        <f>AND(fitumæling!T50,"AAAAABdtr/I=")</f>
        <v>#VALUE!</v>
      </c>
      <c r="IJ4" t="e">
        <f>AND(fitumæling!U50,"AAAAABdtr/M=")</f>
        <v>#VALUE!</v>
      </c>
      <c r="IK4">
        <f>IF(fitumæling!51:51,"AAAAABdtr/Q=",0)</f>
        <v>0</v>
      </c>
      <c r="IL4" t="e">
        <f>AND(fitumæling!A51,"AAAAABdtr/U=")</f>
        <v>#VALUE!</v>
      </c>
      <c r="IM4" t="e">
        <f>AND(fitumæling!B51,"AAAAABdtr/Y=")</f>
        <v>#VALUE!</v>
      </c>
      <c r="IN4" t="e">
        <f>AND(fitumæling!C51,"AAAAABdtr/c=")</f>
        <v>#VALUE!</v>
      </c>
      <c r="IO4" t="e">
        <f>AND(fitumæling!D51,"AAAAABdtr/g=")</f>
        <v>#VALUE!</v>
      </c>
      <c r="IP4" t="e">
        <f>AND(fitumæling!E51,"AAAAABdtr/k=")</f>
        <v>#VALUE!</v>
      </c>
      <c r="IQ4" t="e">
        <f>AND(fitumæling!F51,"AAAAABdtr/o=")</f>
        <v>#VALUE!</v>
      </c>
      <c r="IR4" t="e">
        <f>AND(fitumæling!G51,"AAAAABdtr/s=")</f>
        <v>#VALUE!</v>
      </c>
      <c r="IS4" t="e">
        <f>AND(fitumæling!H51,"AAAAABdtr/w=")</f>
        <v>#VALUE!</v>
      </c>
      <c r="IT4" t="e">
        <f>AND(fitumæling!I51,"AAAAABdtr/0=")</f>
        <v>#VALUE!</v>
      </c>
      <c r="IU4" t="e">
        <f>AND(fitumæling!J51,"AAAAABdtr/4=")</f>
        <v>#VALUE!</v>
      </c>
      <c r="IV4" t="e">
        <f>AND(fitumæling!K51,"AAAAABdtr/8=")</f>
        <v>#VALUE!</v>
      </c>
    </row>
    <row r="5" spans="1:256" x14ac:dyDescent="0.25">
      <c r="A5" t="e">
        <f>AND(fitumæling!L51,"AAAAAHt9rwA=")</f>
        <v>#VALUE!</v>
      </c>
      <c r="B5" t="e">
        <f>AND(fitumæling!M51,"AAAAAHt9rwE=")</f>
        <v>#VALUE!</v>
      </c>
      <c r="C5" t="e">
        <f>AND(fitumæling!N51,"AAAAAHt9rwI=")</f>
        <v>#VALUE!</v>
      </c>
      <c r="D5" t="e">
        <f>AND(fitumæling!O51,"AAAAAHt9rwM=")</f>
        <v>#VALUE!</v>
      </c>
      <c r="E5" t="e">
        <f>AND(fitumæling!P51,"AAAAAHt9rwQ=")</f>
        <v>#VALUE!</v>
      </c>
      <c r="F5" t="e">
        <f>AND(fitumæling!Q51,"AAAAAHt9rwU=")</f>
        <v>#VALUE!</v>
      </c>
      <c r="G5" t="e">
        <f>AND(fitumæling!R51,"AAAAAHt9rwY=")</f>
        <v>#VALUE!</v>
      </c>
      <c r="H5" t="e">
        <f>AND(fitumæling!S51,"AAAAAHt9rwc=")</f>
        <v>#VALUE!</v>
      </c>
      <c r="I5" t="e">
        <f>AND(fitumæling!T51,"AAAAAHt9rwg=")</f>
        <v>#VALUE!</v>
      </c>
      <c r="J5" t="e">
        <f>AND(fitumæling!U51,"AAAAAHt9rwk=")</f>
        <v>#VALUE!</v>
      </c>
      <c r="K5">
        <f>IF(fitumæling!52:52,"AAAAAHt9rwo=",0)</f>
        <v>0</v>
      </c>
      <c r="L5" t="e">
        <f>AND(fitumæling!A52,"AAAAAHt9rws=")</f>
        <v>#VALUE!</v>
      </c>
      <c r="M5" t="e">
        <f>AND(fitumæling!B52,"AAAAAHt9rww=")</f>
        <v>#VALUE!</v>
      </c>
      <c r="N5" t="e">
        <f>AND(fitumæling!C52,"AAAAAHt9rw0=")</f>
        <v>#VALUE!</v>
      </c>
      <c r="O5" t="e">
        <f>AND(fitumæling!D52,"AAAAAHt9rw4=")</f>
        <v>#VALUE!</v>
      </c>
      <c r="P5" t="e">
        <f>AND(fitumæling!E52,"AAAAAHt9rw8=")</f>
        <v>#VALUE!</v>
      </c>
      <c r="Q5" t="e">
        <f>AND(fitumæling!F52,"AAAAAHt9rxA=")</f>
        <v>#VALUE!</v>
      </c>
      <c r="R5" t="e">
        <f>AND(fitumæling!G52,"AAAAAHt9rxE=")</f>
        <v>#VALUE!</v>
      </c>
      <c r="S5" t="e">
        <f>AND(fitumæling!H52,"AAAAAHt9rxI=")</f>
        <v>#VALUE!</v>
      </c>
      <c r="T5" t="e">
        <f>AND(fitumæling!I52,"AAAAAHt9rxM=")</f>
        <v>#VALUE!</v>
      </c>
      <c r="U5" t="e">
        <f>AND(fitumæling!J52,"AAAAAHt9rxQ=")</f>
        <v>#VALUE!</v>
      </c>
      <c r="V5" t="e">
        <f>AND(fitumæling!K52,"AAAAAHt9rxU=")</f>
        <v>#VALUE!</v>
      </c>
      <c r="W5" t="e">
        <f>AND(fitumæling!L52,"AAAAAHt9rxY=")</f>
        <v>#VALUE!</v>
      </c>
      <c r="X5" t="e">
        <f>AND(fitumæling!M52,"AAAAAHt9rxc=")</f>
        <v>#VALUE!</v>
      </c>
      <c r="Y5" t="e">
        <f>AND(fitumæling!N52,"AAAAAHt9rxg=")</f>
        <v>#VALUE!</v>
      </c>
      <c r="Z5" t="e">
        <f>AND(fitumæling!O52,"AAAAAHt9rxk=")</f>
        <v>#VALUE!</v>
      </c>
      <c r="AA5" t="e">
        <f>AND(fitumæling!P52,"AAAAAHt9rxo=")</f>
        <v>#VALUE!</v>
      </c>
      <c r="AB5" t="e">
        <f>AND(fitumæling!Q52,"AAAAAHt9rxs=")</f>
        <v>#VALUE!</v>
      </c>
      <c r="AC5" t="e">
        <f>AND(fitumæling!R52,"AAAAAHt9rxw=")</f>
        <v>#VALUE!</v>
      </c>
      <c r="AD5" t="e">
        <f>AND(fitumæling!S52,"AAAAAHt9rx0=")</f>
        <v>#VALUE!</v>
      </c>
      <c r="AE5" t="e">
        <f>AND(fitumæling!T52,"AAAAAHt9rx4=")</f>
        <v>#VALUE!</v>
      </c>
      <c r="AF5" t="e">
        <f>AND(fitumæling!U52,"AAAAAHt9rx8=")</f>
        <v>#VALUE!</v>
      </c>
      <c r="AG5">
        <f>IF(fitumæling!53:53,"AAAAAHt9ryA=",0)</f>
        <v>0</v>
      </c>
      <c r="AH5" t="e">
        <f>AND(fitumæling!A53,"AAAAAHt9ryE=")</f>
        <v>#VALUE!</v>
      </c>
      <c r="AI5" t="e">
        <f>AND(fitumæling!B53,"AAAAAHt9ryI=")</f>
        <v>#VALUE!</v>
      </c>
      <c r="AJ5" t="e">
        <f>AND(fitumæling!C53,"AAAAAHt9ryM=")</f>
        <v>#VALUE!</v>
      </c>
      <c r="AK5" t="e">
        <f>AND(fitumæling!D53,"AAAAAHt9ryQ=")</f>
        <v>#VALUE!</v>
      </c>
      <c r="AL5" t="e">
        <f>AND(fitumæling!E53,"AAAAAHt9ryU=")</f>
        <v>#VALUE!</v>
      </c>
      <c r="AM5" t="e">
        <f>AND(fitumæling!F53,"AAAAAHt9ryY=")</f>
        <v>#VALUE!</v>
      </c>
      <c r="AN5" t="e">
        <f>AND(fitumæling!G53,"AAAAAHt9ryc=")</f>
        <v>#VALUE!</v>
      </c>
      <c r="AO5" t="e">
        <f>AND(fitumæling!H53,"AAAAAHt9ryg=")</f>
        <v>#VALUE!</v>
      </c>
      <c r="AP5" t="e">
        <f>AND(fitumæling!I53,"AAAAAHt9ryk=")</f>
        <v>#VALUE!</v>
      </c>
      <c r="AQ5" t="e">
        <f>AND(fitumæling!J53,"AAAAAHt9ryo=")</f>
        <v>#VALUE!</v>
      </c>
      <c r="AR5" t="e">
        <f>AND(fitumæling!K53,"AAAAAHt9rys=")</f>
        <v>#VALUE!</v>
      </c>
      <c r="AS5" t="e">
        <f>AND(fitumæling!L53,"AAAAAHt9ryw=")</f>
        <v>#VALUE!</v>
      </c>
      <c r="AT5" t="e">
        <f>AND(fitumæling!M53,"AAAAAHt9ry0=")</f>
        <v>#VALUE!</v>
      </c>
      <c r="AU5" t="e">
        <f>AND(fitumæling!N53,"AAAAAHt9ry4=")</f>
        <v>#VALUE!</v>
      </c>
      <c r="AV5" t="e">
        <f>AND(fitumæling!O53,"AAAAAHt9ry8=")</f>
        <v>#VALUE!</v>
      </c>
      <c r="AW5" t="e">
        <f>AND(fitumæling!P53,"AAAAAHt9rzA=")</f>
        <v>#VALUE!</v>
      </c>
      <c r="AX5" t="e">
        <f>AND(fitumæling!Q53,"AAAAAHt9rzE=")</f>
        <v>#VALUE!</v>
      </c>
      <c r="AY5" t="e">
        <f>AND(fitumæling!R53,"AAAAAHt9rzI=")</f>
        <v>#VALUE!</v>
      </c>
      <c r="AZ5" t="e">
        <f>AND(fitumæling!S53,"AAAAAHt9rzM=")</f>
        <v>#VALUE!</v>
      </c>
      <c r="BA5" t="e">
        <f>AND(fitumæling!T53,"AAAAAHt9rzQ=")</f>
        <v>#VALUE!</v>
      </c>
      <c r="BB5" t="e">
        <f>AND(fitumæling!U53,"AAAAAHt9rzU=")</f>
        <v>#VALUE!</v>
      </c>
      <c r="BC5">
        <f>IF(fitumæling!54:54,"AAAAAHt9rzY=",0)</f>
        <v>0</v>
      </c>
      <c r="BD5" t="e">
        <f>AND(fitumæling!A54,"AAAAAHt9rzc=")</f>
        <v>#VALUE!</v>
      </c>
      <c r="BE5" t="e">
        <f>AND(fitumæling!B54,"AAAAAHt9rzg=")</f>
        <v>#VALUE!</v>
      </c>
      <c r="BF5" t="e">
        <f>AND(fitumæling!C54,"AAAAAHt9rzk=")</f>
        <v>#VALUE!</v>
      </c>
      <c r="BG5" t="e">
        <f>AND(fitumæling!D54,"AAAAAHt9rzo=")</f>
        <v>#VALUE!</v>
      </c>
      <c r="BH5" t="e">
        <f>AND(fitumæling!E54,"AAAAAHt9rzs=")</f>
        <v>#VALUE!</v>
      </c>
      <c r="BI5" t="e">
        <f>AND(fitumæling!F54,"AAAAAHt9rzw=")</f>
        <v>#VALUE!</v>
      </c>
      <c r="BJ5" t="e">
        <f>AND(fitumæling!G54,"AAAAAHt9rz0=")</f>
        <v>#VALUE!</v>
      </c>
      <c r="BK5" t="e">
        <f>AND(fitumæling!H54,"AAAAAHt9rz4=")</f>
        <v>#VALUE!</v>
      </c>
      <c r="BL5" t="e">
        <f>AND(fitumæling!I54,"AAAAAHt9rz8=")</f>
        <v>#VALUE!</v>
      </c>
      <c r="BM5" t="e">
        <f>AND(fitumæling!J54,"AAAAAHt9r0A=")</f>
        <v>#VALUE!</v>
      </c>
      <c r="BN5" t="e">
        <f>AND(fitumæling!K54,"AAAAAHt9r0E=")</f>
        <v>#VALUE!</v>
      </c>
      <c r="BO5" t="e">
        <f>AND(fitumæling!L54,"AAAAAHt9r0I=")</f>
        <v>#VALUE!</v>
      </c>
      <c r="BP5" t="e">
        <f>AND(fitumæling!M54,"AAAAAHt9r0M=")</f>
        <v>#VALUE!</v>
      </c>
      <c r="BQ5" t="e">
        <f>AND(fitumæling!N54,"AAAAAHt9r0Q=")</f>
        <v>#VALUE!</v>
      </c>
      <c r="BR5" t="e">
        <f>AND(fitumæling!O54,"AAAAAHt9r0U=")</f>
        <v>#VALUE!</v>
      </c>
      <c r="BS5" t="e">
        <f>AND(fitumæling!P54,"AAAAAHt9r0Y=")</f>
        <v>#VALUE!</v>
      </c>
      <c r="BT5" t="e">
        <f>AND(fitumæling!Q54,"AAAAAHt9r0c=")</f>
        <v>#VALUE!</v>
      </c>
      <c r="BU5" t="e">
        <f>AND(fitumæling!R54,"AAAAAHt9r0g=")</f>
        <v>#VALUE!</v>
      </c>
      <c r="BV5" t="e">
        <f>AND(fitumæling!S54,"AAAAAHt9r0k=")</f>
        <v>#VALUE!</v>
      </c>
      <c r="BW5" t="e">
        <f>AND(fitumæling!T54,"AAAAAHt9r0o=")</f>
        <v>#VALUE!</v>
      </c>
      <c r="BX5" t="e">
        <f>AND(fitumæling!U54,"AAAAAHt9r0s=")</f>
        <v>#VALUE!</v>
      </c>
      <c r="BY5">
        <f>IF(fitumæling!55:55,"AAAAAHt9r0w=",0)</f>
        <v>0</v>
      </c>
      <c r="BZ5" t="e">
        <f>AND(fitumæling!A55,"AAAAAHt9r00=")</f>
        <v>#VALUE!</v>
      </c>
      <c r="CA5" t="e">
        <f>AND(fitumæling!B55,"AAAAAHt9r04=")</f>
        <v>#VALUE!</v>
      </c>
      <c r="CB5" t="e">
        <f>AND(fitumæling!C55,"AAAAAHt9r08=")</f>
        <v>#VALUE!</v>
      </c>
      <c r="CC5" t="e">
        <f>AND(fitumæling!D55,"AAAAAHt9r1A=")</f>
        <v>#VALUE!</v>
      </c>
      <c r="CD5" t="e">
        <f>AND(fitumæling!E55,"AAAAAHt9r1E=")</f>
        <v>#VALUE!</v>
      </c>
      <c r="CE5" t="e">
        <f>AND(fitumæling!F55,"AAAAAHt9r1I=")</f>
        <v>#VALUE!</v>
      </c>
      <c r="CF5" t="e">
        <f>AND(fitumæling!G55,"AAAAAHt9r1M=")</f>
        <v>#VALUE!</v>
      </c>
      <c r="CG5" t="e">
        <f>AND(fitumæling!H55,"AAAAAHt9r1Q=")</f>
        <v>#VALUE!</v>
      </c>
      <c r="CH5" t="e">
        <f>AND(fitumæling!I55,"AAAAAHt9r1U=")</f>
        <v>#VALUE!</v>
      </c>
      <c r="CI5" t="e">
        <f>AND(fitumæling!J55,"AAAAAHt9r1Y=")</f>
        <v>#VALUE!</v>
      </c>
      <c r="CJ5" t="e">
        <f>AND(fitumæling!K55,"AAAAAHt9r1c=")</f>
        <v>#VALUE!</v>
      </c>
      <c r="CK5" t="e">
        <f>AND(fitumæling!L55,"AAAAAHt9r1g=")</f>
        <v>#VALUE!</v>
      </c>
      <c r="CL5" t="e">
        <f>AND(fitumæling!M55,"AAAAAHt9r1k=")</f>
        <v>#VALUE!</v>
      </c>
      <c r="CM5" t="e">
        <f>AND(fitumæling!N55,"AAAAAHt9r1o=")</f>
        <v>#VALUE!</v>
      </c>
      <c r="CN5" t="e">
        <f>AND(fitumæling!O55,"AAAAAHt9r1s=")</f>
        <v>#VALUE!</v>
      </c>
      <c r="CO5" t="e">
        <f>AND(fitumæling!P55,"AAAAAHt9r1w=")</f>
        <v>#VALUE!</v>
      </c>
      <c r="CP5" t="e">
        <f>AND(fitumæling!Q55,"AAAAAHt9r10=")</f>
        <v>#VALUE!</v>
      </c>
      <c r="CQ5" t="e">
        <f>AND(fitumæling!R55,"AAAAAHt9r14=")</f>
        <v>#VALUE!</v>
      </c>
      <c r="CR5" t="e">
        <f>AND(fitumæling!S55,"AAAAAHt9r18=")</f>
        <v>#VALUE!</v>
      </c>
      <c r="CS5" t="e">
        <f>AND(fitumæling!T55,"AAAAAHt9r2A=")</f>
        <v>#VALUE!</v>
      </c>
      <c r="CT5" t="e">
        <f>AND(fitumæling!U55,"AAAAAHt9r2E=")</f>
        <v>#VALUE!</v>
      </c>
      <c r="CU5">
        <f>IF(fitumæling!56:56,"AAAAAHt9r2I=",0)</f>
        <v>0</v>
      </c>
      <c r="CV5" t="e">
        <f>AND(fitumæling!A56,"AAAAAHt9r2M=")</f>
        <v>#VALUE!</v>
      </c>
      <c r="CW5" t="e">
        <f>AND(fitumæling!B56,"AAAAAHt9r2Q=")</f>
        <v>#VALUE!</v>
      </c>
      <c r="CX5" t="e">
        <f>AND(fitumæling!C56,"AAAAAHt9r2U=")</f>
        <v>#VALUE!</v>
      </c>
      <c r="CY5" t="e">
        <f>AND(fitumæling!D56,"AAAAAHt9r2Y=")</f>
        <v>#VALUE!</v>
      </c>
      <c r="CZ5" t="e">
        <f>AND(fitumæling!E56,"AAAAAHt9r2c=")</f>
        <v>#VALUE!</v>
      </c>
      <c r="DA5" t="e">
        <f>AND(fitumæling!F56,"AAAAAHt9r2g=")</f>
        <v>#VALUE!</v>
      </c>
      <c r="DB5" t="e">
        <f>AND(fitumæling!G56,"AAAAAHt9r2k=")</f>
        <v>#VALUE!</v>
      </c>
      <c r="DC5" t="e">
        <f>AND(fitumæling!H56,"AAAAAHt9r2o=")</f>
        <v>#VALUE!</v>
      </c>
      <c r="DD5" t="e">
        <f>AND(fitumæling!I56,"AAAAAHt9r2s=")</f>
        <v>#VALUE!</v>
      </c>
      <c r="DE5" t="e">
        <f>AND(fitumæling!J56,"AAAAAHt9r2w=")</f>
        <v>#VALUE!</v>
      </c>
      <c r="DF5" t="e">
        <f>AND(fitumæling!K56,"AAAAAHt9r20=")</f>
        <v>#VALUE!</v>
      </c>
      <c r="DG5" t="e">
        <f>AND(fitumæling!L56,"AAAAAHt9r24=")</f>
        <v>#VALUE!</v>
      </c>
      <c r="DH5" t="e">
        <f>AND(fitumæling!M56,"AAAAAHt9r28=")</f>
        <v>#VALUE!</v>
      </c>
      <c r="DI5" t="e">
        <f>AND(fitumæling!N56,"AAAAAHt9r3A=")</f>
        <v>#VALUE!</v>
      </c>
      <c r="DJ5" t="e">
        <f>AND(fitumæling!O56,"AAAAAHt9r3E=")</f>
        <v>#VALUE!</v>
      </c>
      <c r="DK5" t="e">
        <f>AND(fitumæling!P56,"AAAAAHt9r3I=")</f>
        <v>#VALUE!</v>
      </c>
      <c r="DL5" t="e">
        <f>AND(fitumæling!Q56,"AAAAAHt9r3M=")</f>
        <v>#VALUE!</v>
      </c>
      <c r="DM5" t="e">
        <f>AND(fitumæling!R56,"AAAAAHt9r3Q=")</f>
        <v>#VALUE!</v>
      </c>
      <c r="DN5" t="e">
        <f>AND(fitumæling!S56,"AAAAAHt9r3U=")</f>
        <v>#VALUE!</v>
      </c>
      <c r="DO5" t="e">
        <f>AND(fitumæling!T56,"AAAAAHt9r3Y=")</f>
        <v>#VALUE!</v>
      </c>
      <c r="DP5" t="e">
        <f>AND(fitumæling!U56,"AAAAAHt9r3c=")</f>
        <v>#VALUE!</v>
      </c>
      <c r="DQ5">
        <f>IF(fitumæling!57:57,"AAAAAHt9r3g=",0)</f>
        <v>0</v>
      </c>
      <c r="DR5" t="e">
        <f>AND(fitumæling!A57,"AAAAAHt9r3k=")</f>
        <v>#VALUE!</v>
      </c>
      <c r="DS5" t="e">
        <f>AND(fitumæling!B57,"AAAAAHt9r3o=")</f>
        <v>#VALUE!</v>
      </c>
      <c r="DT5" t="e">
        <f>AND(fitumæling!C57,"AAAAAHt9r3s=")</f>
        <v>#VALUE!</v>
      </c>
      <c r="DU5" t="e">
        <f>AND(fitumæling!D57,"AAAAAHt9r3w=")</f>
        <v>#VALUE!</v>
      </c>
      <c r="DV5" t="e">
        <f>AND(fitumæling!E57,"AAAAAHt9r30=")</f>
        <v>#VALUE!</v>
      </c>
      <c r="DW5" t="e">
        <f>AND(fitumæling!F57,"AAAAAHt9r34=")</f>
        <v>#VALUE!</v>
      </c>
      <c r="DX5" t="e">
        <f>AND(fitumæling!G57,"AAAAAHt9r38=")</f>
        <v>#VALUE!</v>
      </c>
      <c r="DY5" t="e">
        <f>AND(fitumæling!H57,"AAAAAHt9r4A=")</f>
        <v>#VALUE!</v>
      </c>
      <c r="DZ5" t="e">
        <f>AND(fitumæling!I57,"AAAAAHt9r4E=")</f>
        <v>#VALUE!</v>
      </c>
      <c r="EA5" t="e">
        <f>AND(fitumæling!J57,"AAAAAHt9r4I=")</f>
        <v>#VALUE!</v>
      </c>
      <c r="EB5" t="e">
        <f>AND(fitumæling!K57,"AAAAAHt9r4M=")</f>
        <v>#VALUE!</v>
      </c>
      <c r="EC5" t="e">
        <f>AND(fitumæling!L57,"AAAAAHt9r4Q=")</f>
        <v>#VALUE!</v>
      </c>
      <c r="ED5" t="e">
        <f>AND(fitumæling!M57,"AAAAAHt9r4U=")</f>
        <v>#VALUE!</v>
      </c>
      <c r="EE5" t="e">
        <f>AND(fitumæling!N57,"AAAAAHt9r4Y=")</f>
        <v>#VALUE!</v>
      </c>
      <c r="EF5" t="e">
        <f>AND(fitumæling!O57,"AAAAAHt9r4c=")</f>
        <v>#VALUE!</v>
      </c>
      <c r="EG5" t="e">
        <f>AND(fitumæling!P57,"AAAAAHt9r4g=")</f>
        <v>#VALUE!</v>
      </c>
      <c r="EH5" t="e">
        <f>AND(fitumæling!Q57,"AAAAAHt9r4k=")</f>
        <v>#VALUE!</v>
      </c>
      <c r="EI5" t="e">
        <f>AND(fitumæling!R57,"AAAAAHt9r4o=")</f>
        <v>#VALUE!</v>
      </c>
      <c r="EJ5" t="e">
        <f>AND(fitumæling!S57,"AAAAAHt9r4s=")</f>
        <v>#VALUE!</v>
      </c>
      <c r="EK5" t="e">
        <f>AND(fitumæling!T57,"AAAAAHt9r4w=")</f>
        <v>#VALUE!</v>
      </c>
      <c r="EL5" t="e">
        <f>AND(fitumæling!U57,"AAAAAHt9r40=")</f>
        <v>#VALUE!</v>
      </c>
      <c r="EM5">
        <f>IF(fitumæling!58:58,"AAAAAHt9r44=",0)</f>
        <v>0</v>
      </c>
      <c r="EN5" t="e">
        <f>AND(fitumæling!A58,"AAAAAHt9r48=")</f>
        <v>#VALUE!</v>
      </c>
      <c r="EO5" t="e">
        <f>AND(fitumæling!B58,"AAAAAHt9r5A=")</f>
        <v>#VALUE!</v>
      </c>
      <c r="EP5" t="e">
        <f>AND(fitumæling!C58,"AAAAAHt9r5E=")</f>
        <v>#VALUE!</v>
      </c>
      <c r="EQ5" t="e">
        <f>AND(fitumæling!D58,"AAAAAHt9r5I=")</f>
        <v>#VALUE!</v>
      </c>
      <c r="ER5" t="e">
        <f>AND(fitumæling!E58,"AAAAAHt9r5M=")</f>
        <v>#VALUE!</v>
      </c>
      <c r="ES5" t="e">
        <f>AND(fitumæling!F58,"AAAAAHt9r5Q=")</f>
        <v>#VALUE!</v>
      </c>
      <c r="ET5" t="e">
        <f>AND(fitumæling!G58,"AAAAAHt9r5U=")</f>
        <v>#VALUE!</v>
      </c>
      <c r="EU5" t="e">
        <f>AND(fitumæling!H58,"AAAAAHt9r5Y=")</f>
        <v>#VALUE!</v>
      </c>
      <c r="EV5" t="e">
        <f>AND(fitumæling!I58,"AAAAAHt9r5c=")</f>
        <v>#VALUE!</v>
      </c>
      <c r="EW5" t="e">
        <f>AND(fitumæling!J58,"AAAAAHt9r5g=")</f>
        <v>#VALUE!</v>
      </c>
      <c r="EX5" t="e">
        <f>AND(fitumæling!K58,"AAAAAHt9r5k=")</f>
        <v>#VALUE!</v>
      </c>
      <c r="EY5" t="e">
        <f>AND(fitumæling!L58,"AAAAAHt9r5o=")</f>
        <v>#VALUE!</v>
      </c>
      <c r="EZ5" t="e">
        <f>AND(fitumæling!M58,"AAAAAHt9r5s=")</f>
        <v>#VALUE!</v>
      </c>
      <c r="FA5" t="e">
        <f>AND(fitumæling!N58,"AAAAAHt9r5w=")</f>
        <v>#VALUE!</v>
      </c>
      <c r="FB5" t="e">
        <f>AND(fitumæling!O58,"AAAAAHt9r50=")</f>
        <v>#VALUE!</v>
      </c>
      <c r="FC5" t="e">
        <f>AND(fitumæling!P58,"AAAAAHt9r54=")</f>
        <v>#VALUE!</v>
      </c>
      <c r="FD5" t="e">
        <f>AND(fitumæling!Q58,"AAAAAHt9r58=")</f>
        <v>#VALUE!</v>
      </c>
      <c r="FE5" t="e">
        <f>AND(fitumæling!R58,"AAAAAHt9r6A=")</f>
        <v>#VALUE!</v>
      </c>
      <c r="FF5" t="e">
        <f>AND(fitumæling!S58,"AAAAAHt9r6E=")</f>
        <v>#VALUE!</v>
      </c>
      <c r="FG5" t="e">
        <f>AND(fitumæling!T58,"AAAAAHt9r6I=")</f>
        <v>#VALUE!</v>
      </c>
      <c r="FH5" t="e">
        <f>AND(fitumæling!U58,"AAAAAHt9r6M=")</f>
        <v>#VALUE!</v>
      </c>
      <c r="FI5" t="e">
        <f>IF(fitumæling!#REF!,"AAAAAHt9r6Q=",0)</f>
        <v>#REF!</v>
      </c>
      <c r="FJ5" t="e">
        <f>AND(fitumæling!#REF!,"AAAAAHt9r6U=")</f>
        <v>#REF!</v>
      </c>
      <c r="FK5" t="e">
        <f>AND(fitumæling!#REF!,"AAAAAHt9r6Y=")</f>
        <v>#REF!</v>
      </c>
      <c r="FL5" t="e">
        <f>AND(fitumæling!#REF!,"AAAAAHt9r6c=")</f>
        <v>#REF!</v>
      </c>
      <c r="FM5" t="e">
        <f>AND(fitumæling!#REF!,"AAAAAHt9r6g=")</f>
        <v>#REF!</v>
      </c>
      <c r="FN5" t="e">
        <f>AND(fitumæling!#REF!,"AAAAAHt9r6k=")</f>
        <v>#REF!</v>
      </c>
      <c r="FO5" t="e">
        <f>AND(fitumæling!#REF!,"AAAAAHt9r6o=")</f>
        <v>#REF!</v>
      </c>
      <c r="FP5" t="e">
        <f>AND(fitumæling!#REF!,"AAAAAHt9r6s=")</f>
        <v>#REF!</v>
      </c>
      <c r="FQ5" t="e">
        <f>AND(fitumæling!#REF!,"AAAAAHt9r6w=")</f>
        <v>#REF!</v>
      </c>
      <c r="FR5" t="e">
        <f>AND(fitumæling!#REF!,"AAAAAHt9r60=")</f>
        <v>#REF!</v>
      </c>
      <c r="FS5" t="e">
        <f>AND(fitumæling!#REF!,"AAAAAHt9r64=")</f>
        <v>#REF!</v>
      </c>
      <c r="FT5" t="e">
        <f>AND(fitumæling!#REF!,"AAAAAHt9r68=")</f>
        <v>#REF!</v>
      </c>
      <c r="FU5" t="e">
        <f>AND(fitumæling!#REF!,"AAAAAHt9r7A=")</f>
        <v>#REF!</v>
      </c>
      <c r="FV5" t="e">
        <f>AND(fitumæling!#REF!,"AAAAAHt9r7E=")</f>
        <v>#REF!</v>
      </c>
      <c r="FW5" t="e">
        <f>AND(fitumæling!#REF!,"AAAAAHt9r7I=")</f>
        <v>#REF!</v>
      </c>
      <c r="FX5" t="e">
        <f>AND(fitumæling!#REF!,"AAAAAHt9r7M=")</f>
        <v>#REF!</v>
      </c>
      <c r="FY5" t="e">
        <f>AND(fitumæling!#REF!,"AAAAAHt9r7Q=")</f>
        <v>#REF!</v>
      </c>
      <c r="FZ5" t="e">
        <f>AND(fitumæling!#REF!,"AAAAAHt9r7U=")</f>
        <v>#REF!</v>
      </c>
      <c r="GA5" t="e">
        <f>AND(fitumæling!#REF!,"AAAAAHt9r7Y=")</f>
        <v>#REF!</v>
      </c>
      <c r="GB5" t="e">
        <f>AND(fitumæling!#REF!,"AAAAAHt9r7c=")</f>
        <v>#REF!</v>
      </c>
      <c r="GC5" t="e">
        <f>AND(fitumæling!#REF!,"AAAAAHt9r7g=")</f>
        <v>#REF!</v>
      </c>
      <c r="GD5" t="e">
        <f>AND(fitumæling!#REF!,"AAAAAHt9r7k=")</f>
        <v>#REF!</v>
      </c>
      <c r="GE5">
        <f>IF(fitumæling!60:60,"AAAAAHt9r7o=",0)</f>
        <v>0</v>
      </c>
      <c r="GF5" t="e">
        <f>AND(fitumæling!E61,"AAAAAHt9r7s=")</f>
        <v>#VALUE!</v>
      </c>
      <c r="GG5" t="e">
        <f>AND(fitumæling!F61,"AAAAAHt9r7w=")</f>
        <v>#VALUE!</v>
      </c>
      <c r="GH5" t="e">
        <f>AND(fitumæling!C60,"AAAAAHt9r70=")</f>
        <v>#VALUE!</v>
      </c>
      <c r="GI5" t="e">
        <f>AND(fitumæling!D60,"AAAAAHt9r74=")</f>
        <v>#VALUE!</v>
      </c>
      <c r="GJ5" t="e">
        <f>AND(fitumæling!E60,"AAAAAHt9r78=")</f>
        <v>#VALUE!</v>
      </c>
      <c r="GK5" t="e">
        <f>AND(fitumæling!F60,"AAAAAHt9r8A=")</f>
        <v>#VALUE!</v>
      </c>
      <c r="GL5" t="e">
        <f>AND(fitumæling!G60,"AAAAAHt9r8E=")</f>
        <v>#VALUE!</v>
      </c>
      <c r="GM5" t="e">
        <f>AND(fitumæling!H60,"AAAAAHt9r8I=")</f>
        <v>#VALUE!</v>
      </c>
      <c r="GN5" t="e">
        <f>AND(fitumæling!#REF!,"AAAAAHt9r8M=")</f>
        <v>#REF!</v>
      </c>
      <c r="GO5" t="e">
        <f>AND(fitumæling!J60,"AAAAAHt9r8Q=")</f>
        <v>#VALUE!</v>
      </c>
      <c r="GP5" t="e">
        <f>AND(fitumæling!K60,"AAAAAHt9r8U=")</f>
        <v>#VALUE!</v>
      </c>
      <c r="GQ5" t="e">
        <f>AND(fitumæling!L60,"AAAAAHt9r8Y=")</f>
        <v>#VALUE!</v>
      </c>
      <c r="GR5" t="e">
        <f>AND(fitumæling!M60,"AAAAAHt9r8c=")</f>
        <v>#VALUE!</v>
      </c>
      <c r="GS5" t="e">
        <f>AND(fitumæling!N60,"AAAAAHt9r8g=")</f>
        <v>#VALUE!</v>
      </c>
      <c r="GT5" t="e">
        <f>AND(fitumæling!O60,"AAAAAHt9r8k=")</f>
        <v>#VALUE!</v>
      </c>
      <c r="GU5" t="e">
        <f>AND(fitumæling!P60,"AAAAAHt9r8o=")</f>
        <v>#VALUE!</v>
      </c>
      <c r="GV5" t="e">
        <f>AND(fitumæling!Q60,"AAAAAHt9r8s=")</f>
        <v>#VALUE!</v>
      </c>
      <c r="GW5" t="e">
        <f>AND(fitumæling!R60,"AAAAAHt9r8w=")</f>
        <v>#VALUE!</v>
      </c>
      <c r="GX5" t="e">
        <f>AND(fitumæling!S60,"AAAAAHt9r80=")</f>
        <v>#VALUE!</v>
      </c>
      <c r="GY5" t="e">
        <f>AND(fitumæling!T60,"AAAAAHt9r84=")</f>
        <v>#VALUE!</v>
      </c>
      <c r="GZ5" t="e">
        <f>AND(fitumæling!U60,"AAAAAHt9r88=")</f>
        <v>#VALUE!</v>
      </c>
      <c r="HA5">
        <f>IF(fitumæling!61:61,"AAAAAHt9r9A=",0)</f>
        <v>0</v>
      </c>
      <c r="HB5" t="e">
        <f>AND(fitumæling!E62,"AAAAAHt9r9E=")</f>
        <v>#VALUE!</v>
      </c>
      <c r="HC5" t="e">
        <f>AND(fitumæling!F62,"AAAAAHt9r9I=")</f>
        <v>#VALUE!</v>
      </c>
      <c r="HD5" t="e">
        <f>AND(fitumæling!C61,"AAAAAHt9r9M=")</f>
        <v>#VALUE!</v>
      </c>
      <c r="HE5" t="e">
        <f>AND(fitumæling!D61,"AAAAAHt9r9Q=")</f>
        <v>#VALUE!</v>
      </c>
      <c r="HF5" t="e">
        <f>AND(fitumæling!#REF!,"AAAAAHt9r9U=")</f>
        <v>#REF!</v>
      </c>
      <c r="HG5" t="e">
        <f>AND(fitumæling!#REF!,"AAAAAHt9r9Y=")</f>
        <v>#REF!</v>
      </c>
      <c r="HH5" t="e">
        <f>AND(fitumæling!G61,"AAAAAHt9r9c=")</f>
        <v>#VALUE!</v>
      </c>
      <c r="HI5" t="e">
        <f>AND(fitumæling!H61,"AAAAAHt9r9g=")</f>
        <v>#VALUE!</v>
      </c>
      <c r="HJ5" t="e">
        <f>AND(fitumæling!I60,"AAAAAHt9r9k=")</f>
        <v>#VALUE!</v>
      </c>
      <c r="HK5" t="e">
        <f>AND(fitumæling!J61,"AAAAAHt9r9o=")</f>
        <v>#VALUE!</v>
      </c>
      <c r="HL5" t="e">
        <f>AND(fitumæling!K61,"AAAAAHt9r9s=")</f>
        <v>#VALUE!</v>
      </c>
      <c r="HM5" t="e">
        <f>AND(fitumæling!L61,"AAAAAHt9r9w=")</f>
        <v>#VALUE!</v>
      </c>
      <c r="HN5" t="e">
        <f>AND(fitumæling!M61,"AAAAAHt9r90=")</f>
        <v>#VALUE!</v>
      </c>
      <c r="HO5" t="e">
        <f>AND(fitumæling!N61,"AAAAAHt9r94=")</f>
        <v>#VALUE!</v>
      </c>
      <c r="HP5" t="e">
        <f>AND(fitumæling!O61,"AAAAAHt9r98=")</f>
        <v>#VALUE!</v>
      </c>
      <c r="HQ5" t="e">
        <f>AND(fitumæling!P61,"AAAAAHt9r+A=")</f>
        <v>#VALUE!</v>
      </c>
      <c r="HR5" t="e">
        <f>AND(fitumæling!Q61,"AAAAAHt9r+E=")</f>
        <v>#VALUE!</v>
      </c>
      <c r="HS5" t="e">
        <f>AND(fitumæling!R61,"AAAAAHt9r+I=")</f>
        <v>#VALUE!</v>
      </c>
      <c r="HT5" t="e">
        <f>AND(fitumæling!S61,"AAAAAHt9r+M=")</f>
        <v>#VALUE!</v>
      </c>
      <c r="HU5" t="e">
        <f>AND(fitumæling!T61,"AAAAAHt9r+Q=")</f>
        <v>#VALUE!</v>
      </c>
      <c r="HV5" t="e">
        <f>AND(fitumæling!U61,"AAAAAHt9r+U=")</f>
        <v>#VALUE!</v>
      </c>
      <c r="HW5">
        <f>IF(fitumæling!62:62,"AAAAAHt9r+Y=",0)</f>
        <v>0</v>
      </c>
      <c r="HX5" t="e">
        <f>AND(fitumæling!E63,"AAAAAHt9r+c=")</f>
        <v>#VALUE!</v>
      </c>
      <c r="HY5" t="e">
        <f>AND(fitumæling!F63,"AAAAAHt9r+g=")</f>
        <v>#VALUE!</v>
      </c>
      <c r="HZ5" t="e">
        <f>AND(fitumæling!C62,"AAAAAHt9r+k=")</f>
        <v>#VALUE!</v>
      </c>
      <c r="IA5" t="e">
        <f>AND(fitumæling!D62,"AAAAAHt9r+o=")</f>
        <v>#VALUE!</v>
      </c>
      <c r="IB5" t="e">
        <f>AND(fitumæling!#REF!,"AAAAAHt9r+s=")</f>
        <v>#REF!</v>
      </c>
      <c r="IC5" t="e">
        <f>AND(fitumæling!#REF!,"AAAAAHt9r+w=")</f>
        <v>#REF!</v>
      </c>
      <c r="ID5" t="e">
        <f>AND(fitumæling!G62,"AAAAAHt9r+0=")</f>
        <v>#VALUE!</v>
      </c>
      <c r="IE5" t="e">
        <f>AND(fitumæling!H62,"AAAAAHt9r+4=")</f>
        <v>#VALUE!</v>
      </c>
      <c r="IF5" t="e">
        <f>AND(fitumæling!I61,"AAAAAHt9r+8=")</f>
        <v>#VALUE!</v>
      </c>
      <c r="IG5" t="e">
        <f>AND(fitumæling!J62,"AAAAAHt9r/A=")</f>
        <v>#VALUE!</v>
      </c>
      <c r="IH5" t="e">
        <f>AND(fitumæling!K62,"AAAAAHt9r/E=")</f>
        <v>#VALUE!</v>
      </c>
      <c r="II5" t="e">
        <f>AND(fitumæling!L62,"AAAAAHt9r/I=")</f>
        <v>#VALUE!</v>
      </c>
      <c r="IJ5" t="e">
        <f>AND(fitumæling!M62,"AAAAAHt9r/M=")</f>
        <v>#VALUE!</v>
      </c>
      <c r="IK5" t="e">
        <f>AND(fitumæling!N62,"AAAAAHt9r/Q=")</f>
        <v>#VALUE!</v>
      </c>
      <c r="IL5" t="e">
        <f>AND(fitumæling!O62,"AAAAAHt9r/U=")</f>
        <v>#VALUE!</v>
      </c>
      <c r="IM5" t="e">
        <f>AND(fitumæling!P62,"AAAAAHt9r/Y=")</f>
        <v>#VALUE!</v>
      </c>
      <c r="IN5" t="e">
        <f>AND(fitumæling!Q62,"AAAAAHt9r/c=")</f>
        <v>#VALUE!</v>
      </c>
      <c r="IO5" t="e">
        <f>AND(fitumæling!R62,"AAAAAHt9r/g=")</f>
        <v>#VALUE!</v>
      </c>
      <c r="IP5" t="e">
        <f>AND(fitumæling!S62,"AAAAAHt9r/k=")</f>
        <v>#VALUE!</v>
      </c>
      <c r="IQ5" t="e">
        <f>AND(fitumæling!T62,"AAAAAHt9r/o=")</f>
        <v>#VALUE!</v>
      </c>
      <c r="IR5" t="e">
        <f>AND(fitumæling!U62,"AAAAAHt9r/s=")</f>
        <v>#VALUE!</v>
      </c>
      <c r="IS5">
        <f>IF(fitumæling!63:63,"AAAAAHt9r/w=",0)</f>
        <v>0</v>
      </c>
      <c r="IT5" t="e">
        <f>AND(fitumæling!E64,"AAAAAHt9r/0=")</f>
        <v>#VALUE!</v>
      </c>
      <c r="IU5" t="e">
        <f>AND(fitumæling!F64,"AAAAAHt9r/4=")</f>
        <v>#VALUE!</v>
      </c>
      <c r="IV5" t="e">
        <f>AND(fitumæling!C63,"AAAAAHt9r/8=")</f>
        <v>#VALUE!</v>
      </c>
    </row>
    <row r="6" spans="1:256" x14ac:dyDescent="0.25">
      <c r="A6" t="e">
        <f>AND(fitumæling!D63,"AAAAAHZ3PgA=")</f>
        <v>#VALUE!</v>
      </c>
      <c r="B6" t="e">
        <f>AND(fitumæling!#REF!,"AAAAAHZ3PgE=")</f>
        <v>#REF!</v>
      </c>
      <c r="C6" t="e">
        <f>AND(fitumæling!#REF!,"AAAAAHZ3PgI=")</f>
        <v>#REF!</v>
      </c>
      <c r="D6" t="e">
        <f>AND(fitumæling!G63,"AAAAAHZ3PgM=")</f>
        <v>#VALUE!</v>
      </c>
      <c r="E6" t="e">
        <f>AND(fitumæling!H63,"AAAAAHZ3PgQ=")</f>
        <v>#VALUE!</v>
      </c>
      <c r="F6" t="e">
        <f>AND(fitumæling!I62,"AAAAAHZ3PgU=")</f>
        <v>#VALUE!</v>
      </c>
      <c r="G6" t="e">
        <f>AND(fitumæling!J63,"AAAAAHZ3PgY=")</f>
        <v>#VALUE!</v>
      </c>
      <c r="H6" t="e">
        <f>AND(fitumæling!K63,"AAAAAHZ3Pgc=")</f>
        <v>#VALUE!</v>
      </c>
      <c r="I6" t="e">
        <f>AND(fitumæling!L63,"AAAAAHZ3Pgg=")</f>
        <v>#VALUE!</v>
      </c>
      <c r="J6" t="e">
        <f>AND(fitumæling!M63,"AAAAAHZ3Pgk=")</f>
        <v>#VALUE!</v>
      </c>
      <c r="K6" t="e">
        <f>AND(fitumæling!N63,"AAAAAHZ3Pgo=")</f>
        <v>#VALUE!</v>
      </c>
      <c r="L6" t="e">
        <f>AND(fitumæling!O63,"AAAAAHZ3Pgs=")</f>
        <v>#VALUE!</v>
      </c>
      <c r="M6" t="e">
        <f>AND(fitumæling!P63,"AAAAAHZ3Pgw=")</f>
        <v>#VALUE!</v>
      </c>
      <c r="N6" t="e">
        <f>AND(fitumæling!Q63,"AAAAAHZ3Pg0=")</f>
        <v>#VALUE!</v>
      </c>
      <c r="O6" t="e">
        <f>AND(fitumæling!R63,"AAAAAHZ3Pg4=")</f>
        <v>#VALUE!</v>
      </c>
      <c r="P6" t="e">
        <f>AND(fitumæling!S63,"AAAAAHZ3Pg8=")</f>
        <v>#VALUE!</v>
      </c>
      <c r="Q6" t="e">
        <f>AND(fitumæling!T63,"AAAAAHZ3PhA=")</f>
        <v>#VALUE!</v>
      </c>
      <c r="R6" t="e">
        <f>AND(fitumæling!U63,"AAAAAHZ3PhE=")</f>
        <v>#VALUE!</v>
      </c>
      <c r="S6">
        <f>IF(fitumæling!64:64,"AAAAAHZ3PhI=",0)</f>
        <v>0</v>
      </c>
      <c r="T6" t="e">
        <f>AND(fitumæling!E65,"AAAAAHZ3PhM=")</f>
        <v>#VALUE!</v>
      </c>
      <c r="U6" t="e">
        <f>AND(fitumæling!F65,"AAAAAHZ3PhQ=")</f>
        <v>#VALUE!</v>
      </c>
      <c r="V6" t="e">
        <f>AND(fitumæling!C64,"AAAAAHZ3PhU=")</f>
        <v>#VALUE!</v>
      </c>
      <c r="W6" t="e">
        <f>AND(fitumæling!D64,"AAAAAHZ3PhY=")</f>
        <v>#VALUE!</v>
      </c>
      <c r="X6" t="e">
        <f>AND(fitumæling!#REF!,"AAAAAHZ3Phc=")</f>
        <v>#REF!</v>
      </c>
      <c r="Y6" t="e">
        <f>AND(fitumæling!#REF!,"AAAAAHZ3Phg=")</f>
        <v>#REF!</v>
      </c>
      <c r="Z6" t="e">
        <f>AND(fitumæling!G64,"AAAAAHZ3Phk=")</f>
        <v>#VALUE!</v>
      </c>
      <c r="AA6" t="e">
        <f>AND(fitumæling!H64,"AAAAAHZ3Pho=")</f>
        <v>#VALUE!</v>
      </c>
      <c r="AB6" t="e">
        <f>AND(fitumæling!I63,"AAAAAHZ3Phs=")</f>
        <v>#VALUE!</v>
      </c>
      <c r="AC6" t="e">
        <f>AND(fitumæling!J64,"AAAAAHZ3Phw=")</f>
        <v>#VALUE!</v>
      </c>
      <c r="AD6" t="e">
        <f>AND(fitumæling!K64,"AAAAAHZ3Ph0=")</f>
        <v>#VALUE!</v>
      </c>
      <c r="AE6" t="e">
        <f>AND(fitumæling!L64,"AAAAAHZ3Ph4=")</f>
        <v>#VALUE!</v>
      </c>
      <c r="AF6" t="e">
        <f>AND(fitumæling!M64,"AAAAAHZ3Ph8=")</f>
        <v>#VALUE!</v>
      </c>
      <c r="AG6" t="e">
        <f>AND(fitumæling!N64,"AAAAAHZ3PiA=")</f>
        <v>#VALUE!</v>
      </c>
      <c r="AH6" t="e">
        <f>AND(fitumæling!O64,"AAAAAHZ3PiE=")</f>
        <v>#VALUE!</v>
      </c>
      <c r="AI6" t="e">
        <f>AND(fitumæling!P64,"AAAAAHZ3PiI=")</f>
        <v>#VALUE!</v>
      </c>
      <c r="AJ6" t="e">
        <f>AND(fitumæling!Q64,"AAAAAHZ3PiM=")</f>
        <v>#VALUE!</v>
      </c>
      <c r="AK6" t="e">
        <f>AND(fitumæling!R64,"AAAAAHZ3PiQ=")</f>
        <v>#VALUE!</v>
      </c>
      <c r="AL6" t="e">
        <f>AND(fitumæling!S64,"AAAAAHZ3PiU=")</f>
        <v>#VALUE!</v>
      </c>
      <c r="AM6" t="e">
        <f>AND(fitumæling!T64,"AAAAAHZ3PiY=")</f>
        <v>#VALUE!</v>
      </c>
      <c r="AN6" t="e">
        <f>AND(fitumæling!U64,"AAAAAHZ3Pic=")</f>
        <v>#VALUE!</v>
      </c>
      <c r="AO6">
        <f>IF(fitumæling!A:A,"AAAAAHZ3Pig=",0)</f>
        <v>0</v>
      </c>
      <c r="AP6" t="e">
        <f>IF(fitumæling!B:B,"AAAAAHZ3Pik=",0)</f>
        <v>#VALUE!</v>
      </c>
      <c r="AQ6">
        <f>IF(fitumæling!C:C,"AAAAAHZ3Pio=",0)</f>
        <v>0</v>
      </c>
      <c r="AR6">
        <f>IF(fitumæling!D:D,"AAAAAHZ3Pis=",0)</f>
        <v>0</v>
      </c>
      <c r="AS6" t="str">
        <f>IF(fitumæling!E:E,"AAAAAHZ3Piw=",0)</f>
        <v>AAAAAHZ3Piw=</v>
      </c>
      <c r="AT6">
        <f>IF(fitumæling!F:F,"AAAAAHZ3Pi0=",0)</f>
        <v>0</v>
      </c>
      <c r="AU6">
        <f>IF(fitumæling!G:G,"AAAAAHZ3Pi4=",0)</f>
        <v>0</v>
      </c>
      <c r="AV6">
        <f>IF(fitumæling!H:H,"AAAAAHZ3Pi8=",0)</f>
        <v>0</v>
      </c>
      <c r="AW6">
        <f>IF(fitumæling!I:I,"AAAAAHZ3PjA=",0)</f>
        <v>0</v>
      </c>
      <c r="AX6">
        <f>IF(fitumæling!J:J,"AAAAAHZ3PjE=",0)</f>
        <v>0</v>
      </c>
      <c r="AY6">
        <f>IF(fitumæling!K:K,"AAAAAHZ3PjI=",0)</f>
        <v>0</v>
      </c>
      <c r="AZ6">
        <f>IF(fitumæling!L:L,"AAAAAHZ3PjM=",0)</f>
        <v>0</v>
      </c>
      <c r="BA6">
        <f>IF(fitumæling!M:M,"AAAAAHZ3PjQ=",0)</f>
        <v>0</v>
      </c>
      <c r="BB6">
        <f>IF(fitumæling!N:N,"AAAAAHZ3PjU=",0)</f>
        <v>0</v>
      </c>
      <c r="BC6">
        <f>IF(fitumæling!O:O,"AAAAAHZ3PjY=",0)</f>
        <v>0</v>
      </c>
      <c r="BD6">
        <f>IF(fitumæling!P:P,"AAAAAHZ3Pjc=",0)</f>
        <v>0</v>
      </c>
      <c r="BE6">
        <f>IF(fitumæling!Q:Q,"AAAAAHZ3Pjg=",0)</f>
        <v>0</v>
      </c>
      <c r="BF6">
        <f>IF(fitumæling!R:R,"AAAAAHZ3Pjk=",0)</f>
        <v>0</v>
      </c>
      <c r="BG6">
        <f>IF(fitumæling!S:S,"AAAAAHZ3Pjo=",0)</f>
        <v>0</v>
      </c>
      <c r="BH6">
        <f>IF(fitumæling!T:T,"AAAAAHZ3Pjs=",0)</f>
        <v>0</v>
      </c>
      <c r="BI6">
        <f>IF(fitumæling!U:U,"AAAAAHZ3Pjw=",0)</f>
        <v>0</v>
      </c>
      <c r="BJ6" s="20" t="s">
        <v>1</v>
      </c>
      <c r="BK6" t="s">
        <v>2</v>
      </c>
    </row>
  </sheetData>
  <customSheetViews>
    <customSheetView guid="{DB0EBCF3-C1A8-4AEF-A43E-259C9A0DED1D}" state="veryHidden">
      <selection activeCell="BK6" sqref="BK6"/>
      <pageMargins left="0.7" right="0.7" top="0.75" bottom="0.75" header="0.3" footer="0.3"/>
    </customSheetView>
    <customSheetView guid="{9293A698-B523-4AB5-896C-61D9929F2845}" state="veryHidden">
      <selection activeCell="BK6" sqref="BK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fitumæling</vt:lpstr>
    </vt:vector>
  </TitlesOfParts>
  <Company>- ETH0 -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4hourlife.com</dc:creator>
  <cp:lastModifiedBy>Björn Þór Sigurbjörnsson</cp:lastModifiedBy>
  <dcterms:created xsi:type="dcterms:W3CDTF">2005-12-08T04:09:20Z</dcterms:created>
  <dcterms:modified xsi:type="dcterms:W3CDTF">2022-02-26T17:42:51Z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1KFmhSzB_AwRbF9ELcvhPwq5BOaYA1SnGi4l4wXHJRj8</vt:lpwstr>
  </property>
  <property fmtid="{D5CDD505-2E9C-101B-9397-08002B2CF9AE}" pid="4" name="Google.Documents.RevisionId">
    <vt:lpwstr>11146535293236373776</vt:lpwstr>
  </property>
  <property fmtid="{D5CDD505-2E9C-101B-9397-08002B2CF9AE}" pid="5" name="Google.Documents.PluginVersion">
    <vt:lpwstr>2.0.2026.3768</vt:lpwstr>
  </property>
  <property fmtid="{D5CDD505-2E9C-101B-9397-08002B2CF9AE}" pid="6" name="Google.Documents.MergeIncapabilityFlags">
    <vt:i4>0</vt:i4>
  </property>
</Properties>
</file>